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4"/>
  </bookViews>
  <sheets>
    <sheet name="гар нов " sheetId="1" r:id="rId1"/>
    <sheet name="гар плюс" sheetId="2" r:id="rId2"/>
    <sheet name="гар сущ" sheetId="3" r:id="rId3"/>
    <sheet name="спек нов" sheetId="4" r:id="rId4"/>
    <sheet name="спек сущ" sheetId="5" r:id="rId5"/>
  </sheets>
  <calcPr calcId="145621"/>
</workbook>
</file>

<file path=xl/calcChain.xml><?xml version="1.0" encoding="utf-8"?>
<calcChain xmlns="http://schemas.openxmlformats.org/spreadsheetml/2006/main">
  <c r="AN21" i="4" l="1"/>
  <c r="AH22" i="4"/>
  <c r="AE21" i="4"/>
  <c r="AB21" i="4"/>
  <c r="Z21" i="4"/>
  <c r="V22" i="4"/>
  <c r="T22" i="4"/>
  <c r="P21" i="4"/>
  <c r="M21" i="4"/>
  <c r="S22" i="4"/>
  <c r="Y22" i="4"/>
  <c r="AK21" i="4"/>
  <c r="S28" i="2"/>
  <c r="S20" i="2"/>
  <c r="AZ28" i="2"/>
  <c r="V21" i="4"/>
  <c r="I30" i="1"/>
  <c r="I29" i="2"/>
  <c r="I31" i="3"/>
  <c r="I29" i="4"/>
  <c r="I29" i="5"/>
  <c r="Y29" i="5"/>
  <c r="P29" i="5"/>
  <c r="J29" i="5"/>
  <c r="F29" i="5"/>
  <c r="BO28" i="5"/>
  <c r="BI28" i="5"/>
  <c r="BF28" i="5"/>
  <c r="AZ28" i="5"/>
  <c r="AW28" i="5"/>
  <c r="AT28" i="5"/>
  <c r="AK28" i="5"/>
  <c r="AH28" i="5"/>
  <c r="AE28" i="5"/>
  <c r="S28" i="5"/>
  <c r="M28" i="5"/>
  <c r="BI27" i="5"/>
  <c r="AW27" i="5"/>
  <c r="AH27" i="5"/>
  <c r="S27" i="5"/>
  <c r="AN24" i="5"/>
  <c r="AL24" i="5"/>
  <c r="AB24" i="5"/>
  <c r="BF23" i="5"/>
  <c r="BD23" i="5"/>
  <c r="AK23" i="5"/>
  <c r="AE23" i="5"/>
  <c r="AC23" i="5"/>
  <c r="BO22" i="5"/>
  <c r="BL22" i="5"/>
  <c r="BJ22" i="5"/>
  <c r="BF22" i="5"/>
  <c r="BD22" i="5"/>
  <c r="BC22" i="5"/>
  <c r="BA22" i="5"/>
  <c r="AZ22" i="5"/>
  <c r="AX22" i="5"/>
  <c r="AW22" i="5"/>
  <c r="AU22" i="5"/>
  <c r="AQ22" i="5"/>
  <c r="AO22" i="5"/>
  <c r="AN22" i="5"/>
  <c r="AL22" i="5"/>
  <c r="AK22" i="5"/>
  <c r="AI22" i="5"/>
  <c r="AH22" i="5"/>
  <c r="AF22" i="5"/>
  <c r="AE22" i="5"/>
  <c r="AC22" i="5"/>
  <c r="S22" i="5"/>
  <c r="Q22" i="5"/>
  <c r="BO21" i="5"/>
  <c r="BM21" i="5"/>
  <c r="BL21" i="5"/>
  <c r="BL29" i="5" s="1"/>
  <c r="BJ21" i="5"/>
  <c r="BI21" i="5"/>
  <c r="BG21" i="5"/>
  <c r="BF21" i="5"/>
  <c r="BD21" i="5"/>
  <c r="BC21" i="5"/>
  <c r="AZ21" i="5"/>
  <c r="AW21" i="5"/>
  <c r="AU21" i="5"/>
  <c r="AT21" i="5"/>
  <c r="AQ21" i="5"/>
  <c r="AO21" i="5"/>
  <c r="AN21" i="5"/>
  <c r="AL21" i="5"/>
  <c r="AK21" i="5"/>
  <c r="AH21" i="5"/>
  <c r="AF21" i="5"/>
  <c r="AE21" i="5"/>
  <c r="AC21" i="5"/>
  <c r="AB21" i="5"/>
  <c r="AB29" i="5" s="1"/>
  <c r="Z21" i="5"/>
  <c r="V21" i="5"/>
  <c r="T21" i="5"/>
  <c r="S21" i="5"/>
  <c r="Q21" i="5"/>
  <c r="M21" i="5"/>
  <c r="BF20" i="5"/>
  <c r="BD20" i="5"/>
  <c r="BC20" i="5"/>
  <c r="V20" i="5"/>
  <c r="V29" i="5" s="1"/>
  <c r="S20" i="5"/>
  <c r="Q20" i="5"/>
  <c r="BF18" i="5"/>
  <c r="AQ18" i="5"/>
  <c r="AN18" i="5"/>
  <c r="AE18" i="5"/>
  <c r="S16" i="5"/>
  <c r="BI15" i="5"/>
  <c r="BG15" i="5"/>
  <c r="AZ15" i="5"/>
  <c r="AT15" i="5"/>
  <c r="AR15" i="5"/>
  <c r="AQ15" i="5"/>
  <c r="AO15" i="5"/>
  <c r="AH15" i="5"/>
  <c r="S15" i="5"/>
  <c r="Q15" i="5"/>
  <c r="M15" i="5"/>
  <c r="BO13" i="5"/>
  <c r="BF13" i="5"/>
  <c r="BD13" i="5"/>
  <c r="AZ13" i="5"/>
  <c r="AZ29" i="5" s="1"/>
  <c r="AW13" i="5"/>
  <c r="AU13" i="5"/>
  <c r="AQ13" i="5"/>
  <c r="AK13" i="5"/>
  <c r="AH13" i="5"/>
  <c r="AE13" i="5"/>
  <c r="AW12" i="5"/>
  <c r="S12" i="5"/>
  <c r="M12" i="5"/>
  <c r="G29" i="4"/>
  <c r="F29" i="4"/>
  <c r="AK28" i="4"/>
  <c r="AE28" i="4"/>
  <c r="AB28" i="4"/>
  <c r="V28" i="4"/>
  <c r="S28" i="4"/>
  <c r="P28" i="4"/>
  <c r="M28" i="4"/>
  <c r="S24" i="4"/>
  <c r="AK22" i="4"/>
  <c r="AI22" i="4"/>
  <c r="AF22" i="4"/>
  <c r="AE22" i="4"/>
  <c r="AC22" i="4"/>
  <c r="AB22" i="4"/>
  <c r="Z22" i="4"/>
  <c r="Q22" i="4"/>
  <c r="M22" i="4"/>
  <c r="K22" i="4"/>
  <c r="AL21" i="4"/>
  <c r="AH21" i="4"/>
  <c r="AF21" i="4"/>
  <c r="AC21" i="4"/>
  <c r="Y21" i="4"/>
  <c r="T21" i="4"/>
  <c r="S21" i="4"/>
  <c r="Q21" i="4"/>
  <c r="P20" i="4"/>
  <c r="M20" i="4"/>
  <c r="AH18" i="4"/>
  <c r="AF18" i="4"/>
  <c r="S18" i="4"/>
  <c r="P18" i="4"/>
  <c r="M18" i="4"/>
  <c r="K18" i="4"/>
  <c r="AN15" i="4"/>
  <c r="AN29" i="4" s="1"/>
  <c r="AL15" i="4"/>
  <c r="AK15" i="4"/>
  <c r="AK29" i="4" s="1"/>
  <c r="AI15" i="4"/>
  <c r="AE15" i="4"/>
  <c r="V15" i="4"/>
  <c r="S15" i="4"/>
  <c r="Q15" i="4"/>
  <c r="P15" i="4"/>
  <c r="N15" i="4"/>
  <c r="M15" i="4"/>
  <c r="K15" i="4"/>
  <c r="M12" i="4"/>
  <c r="K12" i="4"/>
  <c r="AE11" i="4"/>
  <c r="AB11" i="4"/>
  <c r="AB29" i="4" s="1"/>
  <c r="V11" i="4"/>
  <c r="S11" i="4"/>
  <c r="J31" i="3"/>
  <c r="F31" i="3"/>
  <c r="CD30" i="3"/>
  <c r="BX30" i="3"/>
  <c r="BR30" i="3"/>
  <c r="BO30" i="3"/>
  <c r="BI30" i="3"/>
  <c r="BC30" i="3"/>
  <c r="AT30" i="3"/>
  <c r="AQ30" i="3"/>
  <c r="AN30" i="3"/>
  <c r="AK30" i="3"/>
  <c r="AH30" i="3"/>
  <c r="AB30" i="3"/>
  <c r="V30" i="3"/>
  <c r="S30" i="3"/>
  <c r="AN29" i="3"/>
  <c r="AE29" i="3"/>
  <c r="CA26" i="3"/>
  <c r="BY26" i="3"/>
  <c r="BX26" i="3"/>
  <c r="BV26" i="3"/>
  <c r="BU26" i="3"/>
  <c r="BS26" i="3"/>
  <c r="BR26" i="3"/>
  <c r="BP26" i="3"/>
  <c r="BO26" i="3"/>
  <c r="BM26" i="3"/>
  <c r="BL26" i="3"/>
  <c r="BJ26" i="3"/>
  <c r="BI26" i="3"/>
  <c r="BG26" i="3"/>
  <c r="BF26" i="3"/>
  <c r="BD26" i="3"/>
  <c r="BC26" i="3"/>
  <c r="BA26" i="3"/>
  <c r="AZ26" i="3"/>
  <c r="AX26" i="3"/>
  <c r="AW26" i="3"/>
  <c r="AW31" i="3" s="1"/>
  <c r="AU26" i="3"/>
  <c r="AT26" i="3"/>
  <c r="AR26" i="3"/>
  <c r="AK26" i="3"/>
  <c r="AI26" i="3"/>
  <c r="AB26" i="3"/>
  <c r="P26" i="3"/>
  <c r="P31" i="3" s="1"/>
  <c r="N26" i="3"/>
  <c r="M26" i="3"/>
  <c r="M31" i="3" s="1"/>
  <c r="K26" i="3"/>
  <c r="CD25" i="3"/>
  <c r="CB25" i="3"/>
  <c r="BX25" i="3"/>
  <c r="BV25" i="3"/>
  <c r="BR25" i="3"/>
  <c r="BP25" i="3"/>
  <c r="BO25" i="3"/>
  <c r="BM25" i="3"/>
  <c r="BL25" i="3"/>
  <c r="BJ25" i="3"/>
  <c r="AQ25" i="3"/>
  <c r="AO25" i="3"/>
  <c r="AK25" i="3"/>
  <c r="AI25" i="3"/>
  <c r="AE25" i="3"/>
  <c r="AC25" i="3"/>
  <c r="Y25" i="3"/>
  <c r="W25" i="3"/>
  <c r="V25" i="3"/>
  <c r="T25" i="3"/>
  <c r="S25" i="3"/>
  <c r="Q25" i="3"/>
  <c r="BX24" i="3"/>
  <c r="BV24" i="3"/>
  <c r="BI24" i="3"/>
  <c r="BG24" i="3"/>
  <c r="BF24" i="3"/>
  <c r="BD24" i="3"/>
  <c r="BC24" i="3"/>
  <c r="BA24" i="3"/>
  <c r="AT24" i="3"/>
  <c r="AR24" i="3"/>
  <c r="AQ24" i="3"/>
  <c r="AO24" i="3"/>
  <c r="AN24" i="3"/>
  <c r="AL24" i="3"/>
  <c r="AE24" i="3"/>
  <c r="AC24" i="3"/>
  <c r="AB24" i="3"/>
  <c r="Y24" i="3"/>
  <c r="W24" i="3"/>
  <c r="S24" i="3"/>
  <c r="Q24" i="3"/>
  <c r="CD23" i="3"/>
  <c r="CB23" i="3"/>
  <c r="CA23" i="3"/>
  <c r="BY23" i="3"/>
  <c r="BX23" i="3"/>
  <c r="BU23" i="3"/>
  <c r="BS23" i="3"/>
  <c r="BR23" i="3"/>
  <c r="BP23" i="3"/>
  <c r="BL23" i="3"/>
  <c r="BJ23" i="3"/>
  <c r="BI23" i="3"/>
  <c r="BG23" i="3"/>
  <c r="BF23" i="3"/>
  <c r="BD23" i="3"/>
  <c r="BC23" i="3"/>
  <c r="BA23" i="3"/>
  <c r="AT23" i="3"/>
  <c r="AN23" i="3"/>
  <c r="AL23" i="3"/>
  <c r="AK23" i="3"/>
  <c r="AH23" i="3"/>
  <c r="AF23" i="3"/>
  <c r="AE23" i="3"/>
  <c r="AC23" i="3"/>
  <c r="AB23" i="3"/>
  <c r="Y23" i="3"/>
  <c r="W23" i="3"/>
  <c r="V23" i="3"/>
  <c r="T23" i="3"/>
  <c r="S23" i="3"/>
  <c r="Q23" i="3"/>
  <c r="BO22" i="3"/>
  <c r="V22" i="3"/>
  <c r="S22" i="3"/>
  <c r="Q22" i="3"/>
  <c r="CD20" i="3"/>
  <c r="CA20" i="3"/>
  <c r="BR20" i="3"/>
  <c r="BR31" i="3" s="1"/>
  <c r="BL20" i="3"/>
  <c r="BL31" i="3" s="1"/>
  <c r="BI20" i="3"/>
  <c r="BF20" i="3"/>
  <c r="BC20" i="3"/>
  <c r="AT20" i="3"/>
  <c r="AQ20" i="3"/>
  <c r="AN20" i="3"/>
  <c r="AE20" i="3"/>
  <c r="BF18" i="3"/>
  <c r="BD18" i="3"/>
  <c r="AT18" i="3"/>
  <c r="AR18" i="3"/>
  <c r="AE18" i="3"/>
  <c r="AC18" i="3"/>
  <c r="AB18" i="3"/>
  <c r="Z18" i="3"/>
  <c r="Y18" i="3"/>
  <c r="BX17" i="3"/>
  <c r="BO17" i="3"/>
  <c r="BI17" i="3"/>
  <c r="AT17" i="3"/>
  <c r="AR17" i="3"/>
  <c r="AQ17" i="3"/>
  <c r="AO17" i="3"/>
  <c r="AN17" i="3"/>
  <c r="AL17" i="3"/>
  <c r="AK17" i="3"/>
  <c r="AI17" i="3"/>
  <c r="AH17" i="3"/>
  <c r="AF17" i="3"/>
  <c r="AB17" i="3"/>
  <c r="Z17" i="3"/>
  <c r="AZ16" i="3"/>
  <c r="BF15" i="3"/>
  <c r="AT15" i="3"/>
  <c r="AR15" i="3"/>
  <c r="CD13" i="3"/>
  <c r="BO13" i="3"/>
  <c r="BM13" i="3"/>
  <c r="BI13" i="3"/>
  <c r="BI31" i="3" s="1"/>
  <c r="BC13" i="3"/>
  <c r="AT13" i="3"/>
  <c r="AR13" i="3"/>
  <c r="F29" i="2"/>
  <c r="BF28" i="2"/>
  <c r="AW28" i="2"/>
  <c r="AT28" i="2"/>
  <c r="AN28" i="2"/>
  <c r="AK28" i="2"/>
  <c r="AH28" i="2"/>
  <c r="AE28" i="2"/>
  <c r="Y28" i="2"/>
  <c r="M28" i="2"/>
  <c r="AH27" i="2"/>
  <c r="AZ24" i="2"/>
  <c r="AX24" i="2"/>
  <c r="AW24" i="2"/>
  <c r="AU24" i="2"/>
  <c r="AT24" i="2"/>
  <c r="AR24" i="2"/>
  <c r="AQ24" i="2"/>
  <c r="AQ29" i="2" s="1"/>
  <c r="AO24" i="2"/>
  <c r="AN24" i="2"/>
  <c r="AL24" i="2"/>
  <c r="AK24" i="2"/>
  <c r="AI24" i="2"/>
  <c r="AH24" i="2"/>
  <c r="AF24" i="2"/>
  <c r="AE24" i="2"/>
  <c r="AC24" i="2"/>
  <c r="V24" i="2"/>
  <c r="T24" i="2"/>
  <c r="S24" i="2"/>
  <c r="Q24" i="2"/>
  <c r="M24" i="2"/>
  <c r="K24" i="2"/>
  <c r="AZ23" i="2"/>
  <c r="AH23" i="2"/>
  <c r="AF23" i="2"/>
  <c r="AB23" i="2"/>
  <c r="AB29" i="2" s="1"/>
  <c r="Z23" i="2"/>
  <c r="Y23" i="2"/>
  <c r="W23" i="2"/>
  <c r="BC22" i="2"/>
  <c r="BA22" i="2"/>
  <c r="AZ22" i="2"/>
  <c r="AX22" i="2"/>
  <c r="AW22" i="2"/>
  <c r="AU22" i="2"/>
  <c r="AT22" i="2"/>
  <c r="AR22" i="2"/>
  <c r="AN22" i="2"/>
  <c r="AL22" i="2"/>
  <c r="AH22" i="2"/>
  <c r="AF22" i="2"/>
  <c r="AE22" i="2"/>
  <c r="AC22" i="2"/>
  <c r="Y22" i="2"/>
  <c r="W22" i="2"/>
  <c r="S22" i="2"/>
  <c r="Q22" i="2"/>
  <c r="P22" i="2"/>
  <c r="N22" i="2"/>
  <c r="M22" i="2"/>
  <c r="K22" i="2"/>
  <c r="BF21" i="2"/>
  <c r="BD21" i="2"/>
  <c r="AZ21" i="2"/>
  <c r="AX21" i="2"/>
  <c r="AW21" i="2"/>
  <c r="AU21" i="2"/>
  <c r="AT21" i="2"/>
  <c r="AR21" i="2"/>
  <c r="AN21" i="2"/>
  <c r="AL21" i="2"/>
  <c r="AK21" i="2"/>
  <c r="AI21" i="2"/>
  <c r="AH21" i="2"/>
  <c r="AF21" i="2"/>
  <c r="Y21" i="2"/>
  <c r="W21" i="2"/>
  <c r="V21" i="2"/>
  <c r="T21" i="2"/>
  <c r="S21" i="2"/>
  <c r="M21" i="2"/>
  <c r="K21" i="2"/>
  <c r="AW20" i="2"/>
  <c r="AU20" i="2"/>
  <c r="AT20" i="2"/>
  <c r="AE18" i="2"/>
  <c r="M18" i="2"/>
  <c r="BF15" i="2"/>
  <c r="BD15" i="2"/>
  <c r="BC15" i="2"/>
  <c r="BC29" i="2" s="1"/>
  <c r="BA15" i="2"/>
  <c r="AZ15" i="2"/>
  <c r="AX15" i="2"/>
  <c r="AW15" i="2"/>
  <c r="AU15" i="2"/>
  <c r="AK15" i="2"/>
  <c r="AI15" i="2"/>
  <c r="AH15" i="2"/>
  <c r="AF15" i="2"/>
  <c r="AE15" i="2"/>
  <c r="AC15" i="2"/>
  <c r="V15" i="2"/>
  <c r="V29" i="2" s="1"/>
  <c r="T15" i="2"/>
  <c r="S15" i="2"/>
  <c r="M15" i="2"/>
  <c r="K15" i="2"/>
  <c r="G30" i="1"/>
  <c r="F30" i="1"/>
  <c r="BL29" i="1"/>
  <c r="BI29" i="1"/>
  <c r="BC29" i="1"/>
  <c r="AT29" i="1"/>
  <c r="AQ29" i="1"/>
  <c r="AN29" i="1"/>
  <c r="AH29" i="1"/>
  <c r="AE29" i="1"/>
  <c r="AB29" i="1"/>
  <c r="Y29" i="1"/>
  <c r="V29" i="1"/>
  <c r="S29" i="1"/>
  <c r="P29" i="1"/>
  <c r="AZ28" i="1"/>
  <c r="AW28" i="1"/>
  <c r="AQ28" i="1"/>
  <c r="BO25" i="1"/>
  <c r="BM25" i="1"/>
  <c r="BL25" i="1"/>
  <c r="BJ25" i="1"/>
  <c r="AW25" i="1"/>
  <c r="AQ25" i="1"/>
  <c r="AN25" i="1"/>
  <c r="AL25" i="1"/>
  <c r="AK25" i="1"/>
  <c r="AH25" i="1"/>
  <c r="Y25" i="1"/>
  <c r="W25" i="1"/>
  <c r="V25" i="1"/>
  <c r="P25" i="1"/>
  <c r="N25" i="1"/>
  <c r="BR24" i="1"/>
  <c r="BO24" i="1"/>
  <c r="BM24" i="1"/>
  <c r="BL24" i="1"/>
  <c r="BJ24" i="1"/>
  <c r="BI24" i="1"/>
  <c r="BG24" i="1"/>
  <c r="AW24" i="1"/>
  <c r="AT24" i="1"/>
  <c r="AR24" i="1"/>
  <c r="AQ24" i="1"/>
  <c r="AH24" i="1"/>
  <c r="AF24" i="1"/>
  <c r="AE24" i="1"/>
  <c r="AC24" i="1"/>
  <c r="AB24" i="1"/>
  <c r="Y24" i="1"/>
  <c r="W24" i="1"/>
  <c r="V24" i="1"/>
  <c r="P24" i="1"/>
  <c r="N24" i="1"/>
  <c r="M24" i="1"/>
  <c r="BU23" i="1"/>
  <c r="BS23" i="1"/>
  <c r="BR23" i="1"/>
  <c r="BO23" i="1"/>
  <c r="BL23" i="1"/>
  <c r="BJ23" i="1"/>
  <c r="BI23" i="1"/>
  <c r="BG23" i="1"/>
  <c r="BF23" i="1"/>
  <c r="BC23" i="1"/>
  <c r="AZ23" i="1"/>
  <c r="AX23" i="1"/>
  <c r="AW23" i="1"/>
  <c r="AU23" i="1"/>
  <c r="AQ23" i="1"/>
  <c r="AO23" i="1"/>
  <c r="AN23" i="1"/>
  <c r="AL23" i="1"/>
  <c r="AH23" i="1"/>
  <c r="AF23" i="1"/>
  <c r="AE23" i="1"/>
  <c r="AC23" i="1"/>
  <c r="AB23" i="1"/>
  <c r="Z23" i="1"/>
  <c r="Y23" i="1"/>
  <c r="W23" i="1"/>
  <c r="V23" i="1"/>
  <c r="S23" i="1"/>
  <c r="Q23" i="1"/>
  <c r="P23" i="1"/>
  <c r="N23" i="1"/>
  <c r="M23" i="1"/>
  <c r="BU22" i="1"/>
  <c r="BS22" i="1"/>
  <c r="BR22" i="1"/>
  <c r="BP22" i="1"/>
  <c r="BO22" i="1"/>
  <c r="BM22" i="1"/>
  <c r="BL22" i="1"/>
  <c r="BJ22" i="1"/>
  <c r="BI22" i="1"/>
  <c r="BG22" i="1"/>
  <c r="BC22" i="1"/>
  <c r="BA22" i="1"/>
  <c r="AW22" i="1"/>
  <c r="AU22" i="1"/>
  <c r="AT22" i="1"/>
  <c r="AR22" i="1"/>
  <c r="AQ22" i="1"/>
  <c r="AO22" i="1"/>
  <c r="AK22" i="1"/>
  <c r="AI22" i="1"/>
  <c r="AH22" i="1"/>
  <c r="AF22" i="1"/>
  <c r="AE22" i="1"/>
  <c r="AC22" i="1"/>
  <c r="AB22" i="1"/>
  <c r="Z22" i="1"/>
  <c r="Y22" i="1"/>
  <c r="V22" i="1"/>
  <c r="T22" i="1"/>
  <c r="S22" i="1"/>
  <c r="Q22" i="1"/>
  <c r="P22" i="1"/>
  <c r="N22" i="1"/>
  <c r="M22" i="1"/>
  <c r="K22" i="1"/>
  <c r="AE21" i="1"/>
  <c r="Y21" i="1"/>
  <c r="W21" i="1"/>
  <c r="V21" i="1"/>
  <c r="T21" i="1"/>
  <c r="S21" i="1"/>
  <c r="Q21" i="1"/>
  <c r="P21" i="1"/>
  <c r="N21" i="1"/>
  <c r="BO19" i="1"/>
  <c r="BL19" i="1"/>
  <c r="BC19" i="1"/>
  <c r="AW19" i="1"/>
  <c r="AT19" i="1"/>
  <c r="AQ19" i="1"/>
  <c r="AK19" i="1"/>
  <c r="V19" i="1"/>
  <c r="S19" i="1"/>
  <c r="P19" i="1"/>
  <c r="BU17" i="1"/>
  <c r="BL17" i="1"/>
  <c r="BI17" i="1"/>
  <c r="BG17" i="1"/>
  <c r="BF17" i="1"/>
  <c r="BD17" i="1"/>
  <c r="AZ17" i="1"/>
  <c r="AZ30" i="1" s="1"/>
  <c r="AQ17" i="1"/>
  <c r="AE17" i="1"/>
  <c r="V17" i="1"/>
  <c r="P17" i="1"/>
  <c r="M17" i="1"/>
  <c r="BL16" i="1"/>
  <c r="BJ16" i="1"/>
  <c r="BI16" i="1"/>
  <c r="BG16" i="1"/>
  <c r="BF16" i="1"/>
  <c r="BC16" i="1"/>
  <c r="BA16" i="1"/>
  <c r="AQ16" i="1"/>
  <c r="AN16" i="1"/>
  <c r="AH16" i="1"/>
  <c r="Y16" i="1"/>
  <c r="Y30" i="1" s="1"/>
  <c r="P16" i="1"/>
  <c r="N16" i="1"/>
  <c r="AT14" i="1"/>
  <c r="AQ14" i="1"/>
  <c r="AN14" i="1"/>
  <c r="AL14" i="1"/>
  <c r="AH14" i="1"/>
  <c r="AT30" i="1" l="1"/>
  <c r="AH29" i="4"/>
  <c r="Y29" i="4"/>
  <c r="M29" i="4"/>
  <c r="V29" i="4"/>
  <c r="AE29" i="4"/>
  <c r="S29" i="4"/>
  <c r="M30" i="1"/>
  <c r="AH30" i="1"/>
  <c r="AE30" i="1"/>
  <c r="AN30" i="1"/>
  <c r="BF30" i="1"/>
  <c r="BL30" i="1"/>
  <c r="V30" i="1"/>
  <c r="BO30" i="1"/>
  <c r="AK30" i="1"/>
  <c r="BC30" i="1"/>
  <c r="BR30" i="1"/>
  <c r="S30" i="1"/>
  <c r="BI30" i="1"/>
  <c r="AB30" i="1"/>
  <c r="AQ30" i="1"/>
  <c r="BU30" i="1"/>
  <c r="AW30" i="1"/>
  <c r="BF29" i="2"/>
  <c r="S29" i="2"/>
  <c r="AZ29" i="2"/>
  <c r="Y29" i="2"/>
  <c r="AH29" i="2"/>
  <c r="AW29" i="2"/>
  <c r="AE29" i="2"/>
  <c r="M29" i="2"/>
  <c r="AT29" i="2"/>
  <c r="AN29" i="2"/>
  <c r="AK29" i="2"/>
  <c r="BC31" i="3"/>
  <c r="AK31" i="3"/>
  <c r="CA31" i="3"/>
  <c r="BU31" i="3"/>
  <c r="AE31" i="3"/>
  <c r="CD31" i="3"/>
  <c r="AN31" i="3"/>
  <c r="V31" i="3"/>
  <c r="BO31" i="3"/>
  <c r="BF31" i="3"/>
  <c r="BX31" i="3"/>
  <c r="AT31" i="3"/>
  <c r="S31" i="3"/>
  <c r="Y31" i="3"/>
  <c r="AH31" i="3"/>
  <c r="AQ31" i="3"/>
  <c r="BF29" i="5"/>
  <c r="M29" i="5"/>
  <c r="AQ29" i="5"/>
  <c r="AN29" i="5"/>
  <c r="AK29" i="5"/>
  <c r="BI29" i="5"/>
  <c r="AE29" i="5"/>
  <c r="BC29" i="5"/>
  <c r="AH29" i="5"/>
  <c r="AW29" i="5"/>
  <c r="BO29" i="5"/>
  <c r="AT29" i="5"/>
  <c r="S29" i="5"/>
  <c r="P29" i="4"/>
  <c r="AB31" i="3"/>
  <c r="AZ31" i="3"/>
  <c r="P29" i="2"/>
  <c r="P30" i="1"/>
</calcChain>
</file>

<file path=xl/sharedStrings.xml><?xml version="1.0" encoding="utf-8"?>
<sst xmlns="http://schemas.openxmlformats.org/spreadsheetml/2006/main" count="708" uniqueCount="126">
  <si>
    <t>ОТЧЕТ</t>
  </si>
  <si>
    <t xml:space="preserve">о  выполнении  текущего  ремонта ООО "Гарант- Сервис"                      </t>
  </si>
  <si>
    <t>за  2011 год.</t>
  </si>
  <si>
    <t>№ п/п</t>
  </si>
  <si>
    <t>Вид  работ</t>
  </si>
  <si>
    <t>Ед-цы измер.</t>
  </si>
  <si>
    <t>ПЛАН НА ГОД</t>
  </si>
  <si>
    <t>ФАКТ ЗА 2011 год</t>
  </si>
  <si>
    <t xml:space="preserve">Озерный бульвар </t>
  </si>
  <si>
    <t xml:space="preserve">Озерн. бульвар </t>
  </si>
  <si>
    <t xml:space="preserve">Озерн. бульвар  </t>
  </si>
  <si>
    <t xml:space="preserve">Постышева </t>
  </si>
  <si>
    <t>33/18</t>
  </si>
  <si>
    <t xml:space="preserve">Проспект Мира </t>
  </si>
  <si>
    <t>Кол-во</t>
  </si>
  <si>
    <t>Кол-во домов</t>
  </si>
  <si>
    <t>кол-во</t>
  </si>
  <si>
    <t>кол-во домов</t>
  </si>
  <si>
    <t>ФОТ</t>
  </si>
  <si>
    <t>факт</t>
  </si>
  <si>
    <t>руб.</t>
  </si>
  <si>
    <t xml:space="preserve">кол-во </t>
  </si>
  <si>
    <t>тыс.</t>
  </si>
  <si>
    <t xml:space="preserve"> домов</t>
  </si>
  <si>
    <t>Фундаменты</t>
  </si>
  <si>
    <t>Отмостки</t>
  </si>
  <si>
    <t>м2</t>
  </si>
  <si>
    <t>Стены и фасады</t>
  </si>
  <si>
    <t>Стыки  стеновых  панелей</t>
  </si>
  <si>
    <t>м/п</t>
  </si>
  <si>
    <t>Перекрытия</t>
  </si>
  <si>
    <t>Крыши</t>
  </si>
  <si>
    <t>Оконные  и  дверные  заполнения</t>
  </si>
  <si>
    <t>шт</t>
  </si>
  <si>
    <t>Межквартирные  перегородки</t>
  </si>
  <si>
    <t xml:space="preserve">Лестницы, квартиры, крыльца(зонты, козырьки) над входами в подъезды, подвалы, над балконами верхних этажей </t>
  </si>
  <si>
    <t>Полы</t>
  </si>
  <si>
    <t>Внутренняя отделка подъездов</t>
  </si>
  <si>
    <t>под.</t>
  </si>
  <si>
    <t>Центральное отопление</t>
  </si>
  <si>
    <t>ГХВС</t>
  </si>
  <si>
    <t>КНС</t>
  </si>
  <si>
    <t>Электроснабжение и электротехнические устройства</t>
  </si>
  <si>
    <t>Мусоропроводы</t>
  </si>
  <si>
    <t>Тратуары, проезды, дорожки</t>
  </si>
  <si>
    <t>Малые  формы</t>
  </si>
  <si>
    <t>ФОТ, менханизмы</t>
  </si>
  <si>
    <t>ИТОГО :</t>
  </si>
  <si>
    <t>Директор  ООО "Гарант  Сервис"</t>
  </si>
  <si>
    <t>Притула  С. В.</t>
  </si>
  <si>
    <t>Стоимость руб.</t>
  </si>
  <si>
    <t xml:space="preserve">о  выполнении  текущего  ремонта жилищного фонда ООО "Гарант- Сервис Плюс"                      </t>
  </si>
  <si>
    <t>9А</t>
  </si>
  <si>
    <t>11А</t>
  </si>
  <si>
    <t>37А</t>
  </si>
  <si>
    <t>43А</t>
  </si>
  <si>
    <t>47А</t>
  </si>
  <si>
    <t>22/1</t>
  </si>
  <si>
    <t>ФОТ, механизмы</t>
  </si>
  <si>
    <t>Директор  ООО "Гарант  Сервис Плюс"</t>
  </si>
  <si>
    <t xml:space="preserve">о  выполнении  текущего  ремонта  жилищного фонда ООО "Гарант-Сервис"                        </t>
  </si>
  <si>
    <t>ФАКТ ЗА МЕСЯЦ</t>
  </si>
  <si>
    <t>Комсомольская 6</t>
  </si>
  <si>
    <t>Комсомольская 20</t>
  </si>
  <si>
    <t>Озерн. бульвар  11Б</t>
  </si>
  <si>
    <t>Озерн. бульвар 11В</t>
  </si>
  <si>
    <t>Постышева 21</t>
  </si>
  <si>
    <t>Постышева 22</t>
  </si>
  <si>
    <t>Постышева 45</t>
  </si>
  <si>
    <t>Постышева 45А</t>
  </si>
  <si>
    <t>Постышева 45Б</t>
  </si>
  <si>
    <t>Постышева 47</t>
  </si>
  <si>
    <t>Постышева 49</t>
  </si>
  <si>
    <t>Постышева 51</t>
  </si>
  <si>
    <t>Почтовый п-к 2</t>
  </si>
  <si>
    <t>Почтовый п-к 7</t>
  </si>
  <si>
    <t>Проспект Мира 24</t>
  </si>
  <si>
    <t>Проспект Мира 24А</t>
  </si>
  <si>
    <t>Проспект Мира 26</t>
  </si>
  <si>
    <t>Проспект Мира 26А</t>
  </si>
  <si>
    <t>Проспект Мира 28</t>
  </si>
  <si>
    <t>Проспект Мира 30</t>
  </si>
  <si>
    <t>Проспект Мира 30А</t>
  </si>
  <si>
    <t>Пр. Мира  30Б</t>
  </si>
  <si>
    <t>Пр. Мира  32</t>
  </si>
  <si>
    <t>Пр. Мира  34</t>
  </si>
  <si>
    <t xml:space="preserve">О Т Ч Е Т </t>
  </si>
  <si>
    <t>о  выполнении  текущего  ремонта жилищного фонда ООО "Спектр"_</t>
  </si>
  <si>
    <t>Дзержинского 1а</t>
  </si>
  <si>
    <t>Дзержинского 3а</t>
  </si>
  <si>
    <t>Дзержинского 5а</t>
  </si>
  <si>
    <t>Дзержинского 7</t>
  </si>
  <si>
    <t>Дзержинского 7б</t>
  </si>
  <si>
    <t>Дзержинского 13</t>
  </si>
  <si>
    <t>Дзержинского 14</t>
  </si>
  <si>
    <t>Дзержинского 16</t>
  </si>
  <si>
    <t>Пугачева 1а</t>
  </si>
  <si>
    <t>Северный пр-кт 32</t>
  </si>
  <si>
    <t>Количество домов</t>
  </si>
  <si>
    <t>Генеральный директор ООО "Спектр"</t>
  </si>
  <si>
    <t>Притула С.В.</t>
  </si>
  <si>
    <t>Филипченко  П. А.</t>
  </si>
  <si>
    <t>о  выполнении  текущего  ремонта жилищного фонда ООО "Спектр"</t>
  </si>
  <si>
    <t>Комсомольская 13</t>
  </si>
  <si>
    <t>Комсомольская 15</t>
  </si>
  <si>
    <t>Комсомольская 34</t>
  </si>
  <si>
    <t>Комсомольская 36</t>
  </si>
  <si>
    <t>Почтовый п-к 9</t>
  </si>
  <si>
    <t>Почтовый п-к 11</t>
  </si>
  <si>
    <t>Северный пр-кт 3</t>
  </si>
  <si>
    <t>Северный пр-кт 7</t>
  </si>
  <si>
    <t>Северный пр-кт 9</t>
  </si>
  <si>
    <t>Северный пр-кт 11</t>
  </si>
  <si>
    <t>Северный пр-кт 13</t>
  </si>
  <si>
    <t>Северный пр-кт 23</t>
  </si>
  <si>
    <t>Сидоренко 2</t>
  </si>
  <si>
    <t>Сидоренко 4</t>
  </si>
  <si>
    <t>Сидоренко 6</t>
  </si>
  <si>
    <t>Сидоренко 8</t>
  </si>
  <si>
    <t>Сидоренко 10</t>
  </si>
  <si>
    <t>Сидоренко 12</t>
  </si>
  <si>
    <t>Сидоренко 18</t>
  </si>
  <si>
    <t>Генеральный директор  ООО "Спектр"</t>
  </si>
  <si>
    <t>Директор  ООО "Спектр"</t>
  </si>
  <si>
    <t>стоимость руб.</t>
  </si>
  <si>
    <t>на 2011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</si>
</sst>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color indexed="50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Arial Cyr"/>
      <charset val="204"/>
    </font>
    <font>
      <b/>
      <sz val="10"/>
      <color indexed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color indexed="48"/>
      <name val="Arial Cyr"/>
      <family val="2"/>
      <charset val="204"/>
    </font>
    <font>
      <sz val="10"/>
      <color indexed="48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7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  <font>
      <sz val="10"/>
      <color indexed="50"/>
      <name val="Arial Cyr"/>
      <family val="2"/>
      <charset val="204"/>
    </font>
    <font>
      <sz val="10"/>
      <color indexed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0" xfId="0" applyFont="1"/>
    <xf numFmtId="0" fontId="7" fillId="0" borderId="4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4" fillId="0" borderId="7" xfId="0" applyFont="1" applyBorder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/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0" fillId="0" borderId="28" xfId="0" applyBorder="1"/>
    <xf numFmtId="0" fontId="0" fillId="0" borderId="29" xfId="0" applyBorder="1"/>
    <xf numFmtId="0" fontId="9" fillId="0" borderId="35" xfId="0" applyFont="1" applyBorder="1"/>
    <xf numFmtId="0" fontId="9" fillId="0" borderId="27" xfId="0" applyFont="1" applyBorder="1"/>
    <xf numFmtId="0" fontId="9" fillId="0" borderId="37" xfId="0" applyFont="1" applyBorder="1" applyAlignment="1">
      <alignment horizontal="center"/>
    </xf>
    <xf numFmtId="0" fontId="9" fillId="0" borderId="38" xfId="0" applyFont="1" applyBorder="1"/>
    <xf numFmtId="0" fontId="9" fillId="0" borderId="39" xfId="0" applyFont="1" applyBorder="1" applyAlignment="1">
      <alignment horizontal="center"/>
    </xf>
    <xf numFmtId="0" fontId="4" fillId="0" borderId="40" xfId="0" applyFont="1" applyBorder="1"/>
    <xf numFmtId="0" fontId="10" fillId="0" borderId="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9" fillId="0" borderId="16" xfId="0" applyFont="1" applyBorder="1"/>
    <xf numFmtId="0" fontId="9" fillId="0" borderId="0" xfId="0" applyFont="1" applyBorder="1"/>
    <xf numFmtId="0" fontId="9" fillId="0" borderId="44" xfId="0" applyFont="1" applyBorder="1" applyAlignment="1">
      <alignment horizontal="center"/>
    </xf>
    <xf numFmtId="0" fontId="9" fillId="0" borderId="45" xfId="0" applyFont="1" applyBorder="1"/>
    <xf numFmtId="0" fontId="9" fillId="0" borderId="17" xfId="0" applyFont="1" applyBorder="1" applyAlignment="1">
      <alignment horizontal="center"/>
    </xf>
    <xf numFmtId="0" fontId="0" fillId="0" borderId="46" xfId="0" applyBorder="1"/>
    <xf numFmtId="0" fontId="0" fillId="0" borderId="48" xfId="0" applyBorder="1"/>
    <xf numFmtId="0" fontId="6" fillId="0" borderId="49" xfId="0" applyFont="1" applyBorder="1"/>
    <xf numFmtId="0" fontId="0" fillId="0" borderId="49" xfId="0" applyBorder="1"/>
    <xf numFmtId="0" fontId="0" fillId="0" borderId="11" xfId="0" applyBorder="1"/>
    <xf numFmtId="0" fontId="0" fillId="0" borderId="13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6" fillId="0" borderId="53" xfId="0" applyFont="1" applyBorder="1"/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3" xfId="0" applyBorder="1"/>
    <xf numFmtId="2" fontId="0" fillId="0" borderId="52" xfId="0" applyNumberFormat="1" applyBorder="1"/>
    <xf numFmtId="0" fontId="0" fillId="0" borderId="55" xfId="0" applyBorder="1"/>
    <xf numFmtId="0" fontId="6" fillId="0" borderId="53" xfId="0" applyFont="1" applyBorder="1" applyAlignment="1">
      <alignment vertical="justify"/>
    </xf>
    <xf numFmtId="0" fontId="6" fillId="0" borderId="53" xfId="0" applyFont="1" applyBorder="1" applyAlignment="1">
      <alignment vertical="center" wrapText="1"/>
    </xf>
    <xf numFmtId="2" fontId="7" fillId="0" borderId="52" xfId="0" applyNumberFormat="1" applyFont="1" applyBorder="1"/>
    <xf numFmtId="0" fontId="7" fillId="0" borderId="52" xfId="0" applyFont="1" applyBorder="1"/>
    <xf numFmtId="0" fontId="7" fillId="0" borderId="53" xfId="0" applyFont="1" applyBorder="1"/>
    <xf numFmtId="0" fontId="4" fillId="0" borderId="53" xfId="0" applyFont="1" applyBorder="1"/>
    <xf numFmtId="0" fontId="4" fillId="0" borderId="55" xfId="0" applyFont="1" applyBorder="1"/>
    <xf numFmtId="0" fontId="4" fillId="0" borderId="52" xfId="0" applyFont="1" applyBorder="1"/>
    <xf numFmtId="0" fontId="0" fillId="0" borderId="55" xfId="0" applyFont="1" applyBorder="1"/>
    <xf numFmtId="0" fontId="0" fillId="0" borderId="56" xfId="0" applyBorder="1"/>
    <xf numFmtId="0" fontId="6" fillId="0" borderId="51" xfId="0" applyFont="1" applyBorder="1"/>
    <xf numFmtId="0" fontId="0" fillId="0" borderId="51" xfId="0" applyBorder="1" applyAlignment="1">
      <alignment horizontal="center"/>
    </xf>
    <xf numFmtId="0" fontId="0" fillId="0" borderId="57" xfId="0" applyBorder="1"/>
    <xf numFmtId="0" fontId="0" fillId="0" borderId="58" xfId="0" applyBorder="1"/>
    <xf numFmtId="0" fontId="0" fillId="0" borderId="53" xfId="0" applyFill="1" applyBorder="1"/>
    <xf numFmtId="0" fontId="0" fillId="0" borderId="35" xfId="0" applyBorder="1"/>
    <xf numFmtId="0" fontId="6" fillId="0" borderId="36" xfId="0" applyFont="1" applyBorder="1"/>
    <xf numFmtId="0" fontId="0" fillId="0" borderId="36" xfId="0" applyBorder="1" applyAlignment="1">
      <alignment horizontal="center"/>
    </xf>
    <xf numFmtId="0" fontId="0" fillId="0" borderId="36" xfId="0" applyBorder="1"/>
    <xf numFmtId="2" fontId="0" fillId="0" borderId="35" xfId="0" applyNumberFormat="1" applyBorder="1"/>
    <xf numFmtId="0" fontId="0" fillId="0" borderId="37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2" fontId="0" fillId="0" borderId="40" xfId="0" applyNumberFormat="1" applyBorder="1"/>
    <xf numFmtId="0" fontId="0" fillId="0" borderId="40" xfId="0" applyBorder="1"/>
    <xf numFmtId="0" fontId="0" fillId="0" borderId="41" xfId="0" applyBorder="1"/>
    <xf numFmtId="0" fontId="0" fillId="0" borderId="63" xfId="0" applyBorder="1"/>
    <xf numFmtId="0" fontId="0" fillId="0" borderId="33" xfId="0" applyBorder="1"/>
    <xf numFmtId="0" fontId="0" fillId="0" borderId="32" xfId="0" applyBorder="1"/>
    <xf numFmtId="0" fontId="0" fillId="0" borderId="34" xfId="0" applyBorder="1"/>
    <xf numFmtId="0" fontId="0" fillId="0" borderId="45" xfId="0" applyBorder="1"/>
    <xf numFmtId="0" fontId="0" fillId="0" borderId="18" xfId="0" applyBorder="1"/>
    <xf numFmtId="0" fontId="0" fillId="0" borderId="17" xfId="0" applyBorder="1"/>
    <xf numFmtId="0" fontId="0" fillId="0" borderId="30" xfId="0" applyBorder="1"/>
    <xf numFmtId="0" fontId="0" fillId="0" borderId="43" xfId="0" applyBorder="1"/>
    <xf numFmtId="0" fontId="0" fillId="0" borderId="16" xfId="0" applyBorder="1"/>
    <xf numFmtId="0" fontId="0" fillId="0" borderId="64" xfId="0" applyBorder="1"/>
    <xf numFmtId="0" fontId="4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3" xfId="0" applyBorder="1" applyAlignment="1">
      <alignment vertical="center"/>
    </xf>
    <xf numFmtId="2" fontId="4" fillId="0" borderId="65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43" xfId="0" applyFont="1" applyBorder="1"/>
    <xf numFmtId="0" fontId="4" fillId="0" borderId="41" xfId="0" applyFont="1" applyBorder="1"/>
    <xf numFmtId="0" fontId="4" fillId="0" borderId="63" xfId="0" applyFont="1" applyBorder="1"/>
    <xf numFmtId="0" fontId="4" fillId="0" borderId="66" xfId="0" applyFont="1" applyBorder="1"/>
    <xf numFmtId="0" fontId="4" fillId="0" borderId="67" xfId="0" applyFont="1" applyBorder="1"/>
    <xf numFmtId="0" fontId="4" fillId="0" borderId="68" xfId="0" applyFont="1" applyBorder="1"/>
    <xf numFmtId="0" fontId="4" fillId="0" borderId="69" xfId="0" applyFont="1" applyBorder="1"/>
    <xf numFmtId="0" fontId="4" fillId="0" borderId="42" xfId="0" applyFont="1" applyBorder="1"/>
    <xf numFmtId="0" fontId="11" fillId="0" borderId="0" xfId="0" applyFont="1" applyBorder="1"/>
    <xf numFmtId="0" fontId="12" fillId="0" borderId="0" xfId="0" applyFont="1"/>
    <xf numFmtId="0" fontId="4" fillId="0" borderId="70" xfId="0" applyFont="1" applyBorder="1"/>
    <xf numFmtId="0" fontId="4" fillId="0" borderId="15" xfId="0" applyFont="1" applyBorder="1"/>
    <xf numFmtId="0" fontId="4" fillId="0" borderId="20" xfId="0" applyFont="1" applyBorder="1"/>
    <xf numFmtId="0" fontId="4" fillId="0" borderId="2" xfId="0" applyFont="1" applyBorder="1"/>
    <xf numFmtId="0" fontId="4" fillId="0" borderId="19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49" fontId="4" fillId="0" borderId="10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0" fillId="0" borderId="14" xfId="0" applyBorder="1"/>
    <xf numFmtId="0" fontId="9" fillId="0" borderId="40" xfId="0" applyFont="1" applyBorder="1"/>
    <xf numFmtId="0" fontId="9" fillId="0" borderId="4" xfId="0" applyFont="1" applyBorder="1"/>
    <xf numFmtId="0" fontId="9" fillId="0" borderId="63" xfId="0" applyFont="1" applyBorder="1" applyAlignment="1">
      <alignment horizontal="center"/>
    </xf>
    <xf numFmtId="0" fontId="0" fillId="0" borderId="71" xfId="0" applyBorder="1"/>
    <xf numFmtId="0" fontId="0" fillId="0" borderId="72" xfId="0" applyBorder="1"/>
    <xf numFmtId="0" fontId="0" fillId="0" borderId="21" xfId="0" applyBorder="1"/>
    <xf numFmtId="0" fontId="0" fillId="0" borderId="38" xfId="0" applyBorder="1"/>
    <xf numFmtId="0" fontId="0" fillId="0" borderId="39" xfId="0" applyBorder="1"/>
    <xf numFmtId="0" fontId="0" fillId="0" borderId="42" xfId="0" applyBorder="1"/>
    <xf numFmtId="0" fontId="0" fillId="0" borderId="5" xfId="0" applyBorder="1"/>
    <xf numFmtId="0" fontId="4" fillId="0" borderId="65" xfId="0" applyFont="1" applyBorder="1"/>
    <xf numFmtId="0" fontId="4" fillId="0" borderId="73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/>
    <xf numFmtId="0" fontId="10" fillId="0" borderId="32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12" xfId="0" applyBorder="1"/>
    <xf numFmtId="0" fontId="19" fillId="0" borderId="53" xfId="0" applyFont="1" applyBorder="1" applyAlignment="1">
      <alignment vertical="center" wrapText="1"/>
    </xf>
    <xf numFmtId="0" fontId="7" fillId="0" borderId="72" xfId="0" applyFont="1" applyBorder="1"/>
    <xf numFmtId="0" fontId="4" fillId="0" borderId="72" xfId="0" applyFont="1" applyBorder="1"/>
    <xf numFmtId="0" fontId="4" fillId="0" borderId="54" xfId="0" applyFont="1" applyBorder="1"/>
    <xf numFmtId="0" fontId="7" fillId="0" borderId="53" xfId="0" applyFont="1" applyBorder="1" applyAlignment="1">
      <alignment wrapText="1"/>
    </xf>
    <xf numFmtId="0" fontId="19" fillId="0" borderId="53" xfId="0" applyFont="1" applyBorder="1" applyAlignment="1">
      <alignment wrapText="1"/>
    </xf>
    <xf numFmtId="2" fontId="0" fillId="0" borderId="62" xfId="0" applyNumberFormat="1" applyBorder="1"/>
    <xf numFmtId="0" fontId="0" fillId="0" borderId="79" xfId="0" applyBorder="1"/>
    <xf numFmtId="0" fontId="0" fillId="0" borderId="18" xfId="0" applyBorder="1" applyAlignment="1">
      <alignment horizontal="center"/>
    </xf>
    <xf numFmtId="2" fontId="0" fillId="0" borderId="78" xfId="0" applyNumberFormat="1" applyBorder="1"/>
    <xf numFmtId="0" fontId="0" fillId="0" borderId="78" xfId="0" applyBorder="1"/>
    <xf numFmtId="0" fontId="0" fillId="0" borderId="76" xfId="0" applyBorder="1"/>
    <xf numFmtId="0" fontId="0" fillId="0" borderId="31" xfId="0" applyBorder="1"/>
    <xf numFmtId="0" fontId="0" fillId="0" borderId="44" xfId="0" applyBorder="1"/>
    <xf numFmtId="0" fontId="0" fillId="0" borderId="6" xfId="0" applyBorder="1"/>
    <xf numFmtId="0" fontId="0" fillId="0" borderId="65" xfId="0" applyBorder="1"/>
    <xf numFmtId="0" fontId="20" fillId="0" borderId="0" xfId="0" applyFont="1"/>
    <xf numFmtId="0" fontId="21" fillId="0" borderId="0" xfId="0" applyFont="1"/>
    <xf numFmtId="0" fontId="0" fillId="0" borderId="8" xfId="0" applyBorder="1"/>
    <xf numFmtId="0" fontId="6" fillId="0" borderId="48" xfId="0" applyFont="1" applyBorder="1"/>
    <xf numFmtId="0" fontId="6" fillId="0" borderId="52" xfId="0" applyFont="1" applyBorder="1"/>
    <xf numFmtId="0" fontId="0" fillId="0" borderId="24" xfId="0" applyBorder="1"/>
    <xf numFmtId="0" fontId="6" fillId="0" borderId="35" xfId="0" applyFont="1" applyBorder="1"/>
    <xf numFmtId="164" fontId="4" fillId="0" borderId="55" xfId="0" applyNumberFormat="1" applyFont="1" applyBorder="1"/>
    <xf numFmtId="2" fontId="7" fillId="0" borderId="52" xfId="0" applyNumberFormat="1" applyFont="1" applyFill="1" applyBorder="1"/>
    <xf numFmtId="0" fontId="7" fillId="0" borderId="52" xfId="0" applyFont="1" applyFill="1" applyBorder="1"/>
    <xf numFmtId="0" fontId="7" fillId="0" borderId="53" xfId="0" applyFont="1" applyFill="1" applyBorder="1"/>
    <xf numFmtId="0" fontId="4" fillId="0" borderId="55" xfId="0" applyFont="1" applyFill="1" applyBorder="1"/>
    <xf numFmtId="0" fontId="4" fillId="0" borderId="52" xfId="0" applyFont="1" applyFill="1" applyBorder="1"/>
    <xf numFmtId="0" fontId="4" fillId="0" borderId="53" xfId="0" applyFont="1" applyFill="1" applyBorder="1"/>
    <xf numFmtId="0" fontId="4" fillId="0" borderId="54" xfId="0" applyFont="1" applyFill="1" applyBorder="1"/>
    <xf numFmtId="0" fontId="4" fillId="0" borderId="72" xfId="0" applyFont="1" applyFill="1" applyBorder="1"/>
    <xf numFmtId="0" fontId="6" fillId="0" borderId="56" xfId="0" applyFont="1" applyBorder="1" applyAlignment="1">
      <alignment wrapText="1"/>
    </xf>
    <xf numFmtId="2" fontId="0" fillId="0" borderId="53" xfId="0" applyNumberFormat="1" applyBorder="1"/>
    <xf numFmtId="2" fontId="4" fillId="0" borderId="52" xfId="0" applyNumberFormat="1" applyFont="1" applyFill="1" applyBorder="1"/>
    <xf numFmtId="0" fontId="6" fillId="0" borderId="16" xfId="0" applyFont="1" applyBorder="1"/>
    <xf numFmtId="0" fontId="6" fillId="0" borderId="62" xfId="0" applyFont="1" applyBorder="1"/>
    <xf numFmtId="0" fontId="2" fillId="0" borderId="65" xfId="0" applyFont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7" fillId="0" borderId="72" xfId="0" applyFont="1" applyFill="1" applyBorder="1"/>
    <xf numFmtId="2" fontId="0" fillId="0" borderId="72" xfId="0" applyNumberFormat="1" applyBorder="1"/>
    <xf numFmtId="165" fontId="0" fillId="0" borderId="72" xfId="0" applyNumberFormat="1" applyBorder="1"/>
    <xf numFmtId="0" fontId="0" fillId="0" borderId="47" xfId="0" applyBorder="1"/>
    <xf numFmtId="0" fontId="0" fillId="0" borderId="4" xfId="0" applyBorder="1"/>
    <xf numFmtId="0" fontId="2" fillId="0" borderId="6" xfId="0" applyFont="1" applyBorder="1"/>
    <xf numFmtId="0" fontId="0" fillId="0" borderId="77" xfId="0" applyBorder="1"/>
    <xf numFmtId="0" fontId="7" fillId="0" borderId="21" xfId="0" applyFont="1" applyFill="1" applyBorder="1"/>
    <xf numFmtId="0" fontId="7" fillId="0" borderId="21" xfId="0" applyFont="1" applyBorder="1"/>
    <xf numFmtId="2" fontId="0" fillId="0" borderId="21" xfId="0" applyNumberFormat="1" applyBorder="1"/>
    <xf numFmtId="0" fontId="4" fillId="0" borderId="21" xfId="0" applyFont="1" applyFill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76" xfId="0" applyFont="1" applyBorder="1"/>
    <xf numFmtId="0" fontId="7" fillId="0" borderId="28" xfId="0" applyFont="1" applyFill="1" applyBorder="1"/>
    <xf numFmtId="0" fontId="7" fillId="0" borderId="28" xfId="0" applyFont="1" applyBorder="1"/>
    <xf numFmtId="2" fontId="0" fillId="0" borderId="28" xfId="0" applyNumberFormat="1" applyBorder="1"/>
    <xf numFmtId="0" fontId="4" fillId="0" borderId="28" xfId="0" applyFont="1" applyFill="1" applyBorder="1"/>
    <xf numFmtId="0" fontId="4" fillId="0" borderId="0" xfId="0" applyFont="1" applyAlignment="1"/>
    <xf numFmtId="0" fontId="4" fillId="0" borderId="65" xfId="0" applyFont="1" applyFill="1" applyBorder="1" applyAlignment="1">
      <alignment vertical="center"/>
    </xf>
    <xf numFmtId="0" fontId="8" fillId="0" borderId="6" xfId="0" applyFont="1" applyBorder="1"/>
    <xf numFmtId="0" fontId="8" fillId="0" borderId="4" xfId="0" applyFont="1" applyBorder="1"/>
    <xf numFmtId="0" fontId="8" fillId="0" borderId="5" xfId="0" applyFont="1" applyBorder="1"/>
    <xf numFmtId="0" fontId="1" fillId="0" borderId="41" xfId="0" applyFont="1" applyBorder="1"/>
    <xf numFmtId="0" fontId="9" fillId="0" borderId="3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0" borderId="3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35" xfId="0" applyFont="1" applyBorder="1" applyAlignment="1">
      <alignment wrapText="1"/>
    </xf>
    <xf numFmtId="0" fontId="0" fillId="0" borderId="16" xfId="0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30" xfId="0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9" fillId="0" borderId="4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0" fillId="0" borderId="56" xfId="0" applyBorder="1" applyAlignment="1">
      <alignment wrapText="1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6" fillId="0" borderId="4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31" xfId="0" applyBorder="1" applyAlignment="1">
      <alignment wrapText="1"/>
    </xf>
    <xf numFmtId="0" fontId="6" fillId="0" borderId="4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74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6" fillId="0" borderId="77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6" fillId="0" borderId="61" xfId="0" applyFont="1" applyBorder="1" applyAlignment="1">
      <alignment horizontal="center" vertical="justify"/>
    </xf>
    <xf numFmtId="0" fontId="23" fillId="0" borderId="6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6" fillId="0" borderId="64" xfId="0" applyFont="1" applyBorder="1" applyAlignment="1">
      <alignment vertical="center" wrapText="1"/>
    </xf>
    <xf numFmtId="0" fontId="6" fillId="0" borderId="78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34"/>
  <sheetViews>
    <sheetView topLeftCell="A7" zoomScale="90" zoomScaleNormal="90" workbookViewId="0">
      <selection activeCell="I32" sqref="I32"/>
    </sheetView>
  </sheetViews>
  <sheetFormatPr defaultRowHeight="15" x14ac:dyDescent="0.25"/>
  <cols>
    <col min="1" max="1" width="4.42578125" customWidth="1"/>
    <col min="2" max="2" width="26.7109375" customWidth="1"/>
    <col min="6" max="6" width="13.5703125" customWidth="1"/>
  </cols>
  <sheetData>
    <row r="2" spans="1:73" x14ac:dyDescent="0.25">
      <c r="B2" s="239" t="s">
        <v>0</v>
      </c>
      <c r="C2" s="240"/>
      <c r="D2" s="240"/>
      <c r="E2" s="240"/>
      <c r="F2" s="240"/>
      <c r="G2" s="240"/>
      <c r="H2" s="240"/>
      <c r="I2" s="240"/>
      <c r="J2" s="240"/>
      <c r="O2" s="1"/>
    </row>
    <row r="3" spans="1:73" x14ac:dyDescent="0.25">
      <c r="B3" s="241" t="s">
        <v>1</v>
      </c>
      <c r="C3" s="240"/>
      <c r="D3" s="240"/>
      <c r="E3" s="240"/>
      <c r="F3" s="240"/>
      <c r="G3" s="240"/>
      <c r="H3" s="240"/>
      <c r="I3" s="240"/>
      <c r="J3" s="240"/>
      <c r="M3" s="2"/>
    </row>
    <row r="4" spans="1:73" x14ac:dyDescent="0.25">
      <c r="B4" s="242"/>
      <c r="C4" s="240"/>
      <c r="D4" s="240"/>
      <c r="E4" s="240"/>
      <c r="F4" s="240"/>
      <c r="G4" s="240"/>
      <c r="H4" s="240"/>
      <c r="I4" s="240"/>
      <c r="J4" s="240"/>
      <c r="M4" s="4"/>
    </row>
    <row r="5" spans="1:73" x14ac:dyDescent="0.25">
      <c r="B5" s="243" t="s">
        <v>2</v>
      </c>
      <c r="C5" s="240"/>
      <c r="D5" s="240"/>
      <c r="E5" s="240"/>
      <c r="F5" s="240"/>
      <c r="G5" s="240"/>
      <c r="H5" s="240"/>
      <c r="I5" s="240"/>
      <c r="J5" s="240"/>
      <c r="M5" s="1"/>
    </row>
    <row r="6" spans="1:73" ht="15.75" thickBot="1" x14ac:dyDescent="0.3">
      <c r="B6" s="2"/>
      <c r="C6" s="3"/>
      <c r="D6" s="3"/>
      <c r="E6" s="3"/>
      <c r="F6" s="3"/>
      <c r="G6" s="3"/>
      <c r="H6" s="3"/>
      <c r="I6" s="3"/>
      <c r="J6" s="3"/>
    </row>
    <row r="7" spans="1:73" ht="15.75" thickBot="1" x14ac:dyDescent="0.3">
      <c r="A7" s="244" t="s">
        <v>3</v>
      </c>
      <c r="B7" s="246" t="s">
        <v>4</v>
      </c>
      <c r="C7" s="249" t="s">
        <v>5</v>
      </c>
      <c r="D7" s="252" t="s">
        <v>6</v>
      </c>
      <c r="E7" s="253"/>
      <c r="F7" s="254"/>
      <c r="G7" s="255" t="s">
        <v>7</v>
      </c>
      <c r="H7" s="252"/>
      <c r="I7" s="252"/>
      <c r="J7" s="5"/>
      <c r="K7" s="206" t="s">
        <v>8</v>
      </c>
      <c r="L7" s="207"/>
      <c r="M7" s="208">
        <v>2</v>
      </c>
      <c r="N7" s="6" t="s">
        <v>9</v>
      </c>
      <c r="O7" s="7"/>
      <c r="P7" s="8">
        <v>4</v>
      </c>
      <c r="Q7" s="7" t="s">
        <v>10</v>
      </c>
      <c r="R7" s="7"/>
      <c r="S7" s="7">
        <v>12</v>
      </c>
      <c r="T7" s="6" t="s">
        <v>9</v>
      </c>
      <c r="U7" s="7"/>
      <c r="V7" s="8">
        <v>14</v>
      </c>
      <c r="W7" s="7" t="s">
        <v>9</v>
      </c>
      <c r="X7" s="7"/>
      <c r="Y7" s="7">
        <v>16</v>
      </c>
      <c r="Z7" s="6" t="s">
        <v>11</v>
      </c>
      <c r="AA7" s="7"/>
      <c r="AB7" s="9">
        <v>1</v>
      </c>
      <c r="AC7" s="7" t="s">
        <v>11</v>
      </c>
      <c r="AD7" s="10"/>
      <c r="AE7" s="7">
        <v>3</v>
      </c>
      <c r="AF7" s="6" t="s">
        <v>11</v>
      </c>
      <c r="AG7" s="11"/>
      <c r="AH7" s="8">
        <v>5</v>
      </c>
      <c r="AI7" s="7" t="s">
        <v>11</v>
      </c>
      <c r="AJ7" s="7"/>
      <c r="AK7" s="7">
        <v>7</v>
      </c>
      <c r="AL7" s="6" t="s">
        <v>11</v>
      </c>
      <c r="AM7" s="7"/>
      <c r="AN7" s="8">
        <v>9</v>
      </c>
      <c r="AO7" s="7" t="s">
        <v>11</v>
      </c>
      <c r="AP7" s="7"/>
      <c r="AQ7" s="7">
        <v>11</v>
      </c>
      <c r="AR7" s="6" t="s">
        <v>11</v>
      </c>
      <c r="AS7" s="7"/>
      <c r="AT7" s="8">
        <v>15</v>
      </c>
      <c r="AU7" s="6" t="s">
        <v>11</v>
      </c>
      <c r="AV7" s="7"/>
      <c r="AW7" s="8">
        <v>19</v>
      </c>
      <c r="AX7" s="6" t="s">
        <v>11</v>
      </c>
      <c r="AY7" s="7"/>
      <c r="AZ7" s="8">
        <v>23</v>
      </c>
      <c r="BA7" s="7" t="s">
        <v>11</v>
      </c>
      <c r="BB7" s="7"/>
      <c r="BC7" s="7" t="s">
        <v>12</v>
      </c>
      <c r="BD7" s="6" t="s">
        <v>13</v>
      </c>
      <c r="BE7" s="7"/>
      <c r="BF7" s="8">
        <v>8</v>
      </c>
      <c r="BG7" s="7" t="s">
        <v>13</v>
      </c>
      <c r="BH7" s="7"/>
      <c r="BI7" s="7">
        <v>12</v>
      </c>
      <c r="BJ7" s="6" t="s">
        <v>13</v>
      </c>
      <c r="BK7" s="7"/>
      <c r="BL7" s="8">
        <v>14</v>
      </c>
      <c r="BM7" s="7" t="s">
        <v>13</v>
      </c>
      <c r="BN7" s="7"/>
      <c r="BO7" s="7">
        <v>16</v>
      </c>
      <c r="BP7" s="6" t="s">
        <v>13</v>
      </c>
      <c r="BQ7" s="7"/>
      <c r="BR7" s="8">
        <v>18</v>
      </c>
      <c r="BS7" s="7" t="s">
        <v>13</v>
      </c>
      <c r="BT7" s="7"/>
      <c r="BU7" s="7">
        <v>20</v>
      </c>
    </row>
    <row r="8" spans="1:73" x14ac:dyDescent="0.25">
      <c r="A8" s="226"/>
      <c r="B8" s="247"/>
      <c r="C8" s="250"/>
      <c r="D8" s="256" t="s">
        <v>14</v>
      </c>
      <c r="E8" s="227" t="s">
        <v>15</v>
      </c>
      <c r="F8" s="229" t="s">
        <v>50</v>
      </c>
      <c r="G8" s="231" t="s">
        <v>16</v>
      </c>
      <c r="H8" s="233" t="s">
        <v>17</v>
      </c>
      <c r="I8" s="235" t="s">
        <v>124</v>
      </c>
      <c r="J8" s="237" t="s">
        <v>18</v>
      </c>
      <c r="K8" s="216" t="s">
        <v>19</v>
      </c>
      <c r="L8" s="217"/>
      <c r="M8" s="218"/>
      <c r="N8" s="13" t="s">
        <v>19</v>
      </c>
      <c r="O8" s="14"/>
      <c r="P8" s="15"/>
      <c r="Q8" s="16" t="s">
        <v>19</v>
      </c>
      <c r="R8" s="17"/>
      <c r="S8" s="18"/>
      <c r="T8" s="13" t="s">
        <v>19</v>
      </c>
      <c r="U8" s="14"/>
      <c r="V8" s="15"/>
      <c r="W8" s="16" t="s">
        <v>19</v>
      </c>
      <c r="X8" s="17"/>
      <c r="Y8" s="18"/>
      <c r="Z8" s="13" t="s">
        <v>19</v>
      </c>
      <c r="AA8" s="17"/>
      <c r="AB8" s="19"/>
      <c r="AC8" s="16" t="s">
        <v>19</v>
      </c>
      <c r="AD8" s="17"/>
      <c r="AE8" s="18"/>
      <c r="AF8" s="13" t="s">
        <v>19</v>
      </c>
      <c r="AG8" s="17"/>
      <c r="AH8" s="19"/>
      <c r="AI8" s="16" t="s">
        <v>19</v>
      </c>
      <c r="AJ8" s="17"/>
      <c r="AK8" s="18"/>
      <c r="AL8" s="13" t="s">
        <v>19</v>
      </c>
      <c r="AM8" s="17"/>
      <c r="AN8" s="19"/>
      <c r="AO8" s="16" t="s">
        <v>19</v>
      </c>
      <c r="AP8" s="17"/>
      <c r="AQ8" s="18"/>
      <c r="AR8" s="13" t="s">
        <v>19</v>
      </c>
      <c r="AS8" s="17"/>
      <c r="AT8" s="19"/>
      <c r="AU8" s="13" t="s">
        <v>19</v>
      </c>
      <c r="AV8" s="17"/>
      <c r="AW8" s="19"/>
      <c r="AX8" s="13" t="s">
        <v>19</v>
      </c>
      <c r="AY8" s="17"/>
      <c r="AZ8" s="19"/>
      <c r="BA8" s="16" t="s">
        <v>19</v>
      </c>
      <c r="BB8" s="17"/>
      <c r="BC8" s="18"/>
      <c r="BD8" s="13" t="s">
        <v>19</v>
      </c>
      <c r="BE8" s="17"/>
      <c r="BF8" s="19"/>
      <c r="BG8" s="16" t="s">
        <v>19</v>
      </c>
      <c r="BH8" s="17"/>
      <c r="BI8" s="18"/>
      <c r="BJ8" s="13" t="s">
        <v>19</v>
      </c>
      <c r="BK8" s="17"/>
      <c r="BL8" s="19"/>
      <c r="BM8" s="16" t="s">
        <v>19</v>
      </c>
      <c r="BN8" s="17"/>
      <c r="BO8" s="18"/>
      <c r="BP8" s="13" t="s">
        <v>19</v>
      </c>
      <c r="BQ8" s="17"/>
      <c r="BR8" s="19"/>
      <c r="BS8" s="16" t="s">
        <v>19</v>
      </c>
      <c r="BT8" s="17"/>
      <c r="BU8" s="18"/>
    </row>
    <row r="9" spans="1:73" ht="15.75" thickBot="1" x14ac:dyDescent="0.3">
      <c r="A9" s="245"/>
      <c r="B9" s="248"/>
      <c r="C9" s="251"/>
      <c r="D9" s="257"/>
      <c r="E9" s="228"/>
      <c r="F9" s="230"/>
      <c r="G9" s="232"/>
      <c r="H9" s="234"/>
      <c r="I9" s="236"/>
      <c r="J9" s="238"/>
      <c r="K9" s="219" t="s">
        <v>16</v>
      </c>
      <c r="L9" s="221" t="s">
        <v>17</v>
      </c>
      <c r="M9" s="223" t="s">
        <v>20</v>
      </c>
      <c r="N9" s="225" t="s">
        <v>16</v>
      </c>
      <c r="O9" s="210" t="s">
        <v>17</v>
      </c>
      <c r="P9" s="212" t="s">
        <v>20</v>
      </c>
      <c r="Q9" s="214" t="s">
        <v>16</v>
      </c>
      <c r="R9" s="210" t="s">
        <v>17</v>
      </c>
      <c r="S9" s="212" t="s">
        <v>20</v>
      </c>
      <c r="T9" s="22" t="s">
        <v>16</v>
      </c>
      <c r="U9" s="23" t="s">
        <v>21</v>
      </c>
      <c r="V9" s="24"/>
      <c r="W9" s="25" t="s">
        <v>16</v>
      </c>
      <c r="X9" s="23" t="s">
        <v>21</v>
      </c>
      <c r="Y9" s="26"/>
      <c r="Z9" s="22" t="s">
        <v>16</v>
      </c>
      <c r="AA9" s="23" t="s">
        <v>21</v>
      </c>
      <c r="AB9" s="24"/>
      <c r="AC9" s="25" t="s">
        <v>16</v>
      </c>
      <c r="AD9" s="23" t="s">
        <v>21</v>
      </c>
      <c r="AE9" s="26"/>
      <c r="AF9" s="22" t="s">
        <v>16</v>
      </c>
      <c r="AG9" s="23" t="s">
        <v>21</v>
      </c>
      <c r="AH9" s="24"/>
      <c r="AI9" s="25" t="s">
        <v>16</v>
      </c>
      <c r="AJ9" s="23" t="s">
        <v>21</v>
      </c>
      <c r="AK9" s="26"/>
      <c r="AL9" s="22" t="s">
        <v>16</v>
      </c>
      <c r="AM9" s="23" t="s">
        <v>21</v>
      </c>
      <c r="AN9" s="24"/>
      <c r="AO9" s="25" t="s">
        <v>16</v>
      </c>
      <c r="AP9" s="23" t="s">
        <v>21</v>
      </c>
      <c r="AQ9" s="26"/>
      <c r="AR9" s="22" t="s">
        <v>16</v>
      </c>
      <c r="AS9" s="23" t="s">
        <v>21</v>
      </c>
      <c r="AT9" s="24" t="s">
        <v>22</v>
      </c>
      <c r="AU9" s="22" t="s">
        <v>16</v>
      </c>
      <c r="AV9" s="23" t="s">
        <v>21</v>
      </c>
      <c r="AW9" s="24" t="s">
        <v>22</v>
      </c>
      <c r="AX9" s="22" t="s">
        <v>16</v>
      </c>
      <c r="AY9" s="23" t="s">
        <v>21</v>
      </c>
      <c r="AZ9" s="24"/>
      <c r="BA9" s="25" t="s">
        <v>16</v>
      </c>
      <c r="BB9" s="23" t="s">
        <v>21</v>
      </c>
      <c r="BC9" s="26"/>
      <c r="BD9" s="22" t="s">
        <v>16</v>
      </c>
      <c r="BE9" s="23" t="s">
        <v>21</v>
      </c>
      <c r="BF9" s="24" t="s">
        <v>22</v>
      </c>
      <c r="BG9" s="25" t="s">
        <v>16</v>
      </c>
      <c r="BH9" s="23" t="s">
        <v>21</v>
      </c>
      <c r="BI9" s="26" t="s">
        <v>22</v>
      </c>
      <c r="BJ9" s="22" t="s">
        <v>16</v>
      </c>
      <c r="BK9" s="23" t="s">
        <v>21</v>
      </c>
      <c r="BL9" s="24"/>
      <c r="BM9" s="25" t="s">
        <v>16</v>
      </c>
      <c r="BN9" s="23" t="s">
        <v>21</v>
      </c>
      <c r="BO9" s="26"/>
      <c r="BP9" s="22" t="s">
        <v>16</v>
      </c>
      <c r="BQ9" s="23" t="s">
        <v>21</v>
      </c>
      <c r="BR9" s="24"/>
      <c r="BS9" s="25" t="s">
        <v>16</v>
      </c>
      <c r="BT9" s="23" t="s">
        <v>21</v>
      </c>
      <c r="BU9" s="26"/>
    </row>
    <row r="10" spans="1:73" ht="15.75" thickBot="1" x14ac:dyDescent="0.3">
      <c r="A10" s="27">
        <v>1</v>
      </c>
      <c r="B10" s="28">
        <v>2</v>
      </c>
      <c r="C10" s="28">
        <v>3</v>
      </c>
      <c r="D10" s="29">
        <v>4</v>
      </c>
      <c r="E10" s="28">
        <v>5</v>
      </c>
      <c r="F10" s="30">
        <v>6</v>
      </c>
      <c r="G10" s="31">
        <v>7</v>
      </c>
      <c r="H10" s="32">
        <v>8</v>
      </c>
      <c r="I10" s="32">
        <v>9</v>
      </c>
      <c r="J10" s="32">
        <v>10</v>
      </c>
      <c r="K10" s="220"/>
      <c r="L10" s="222"/>
      <c r="M10" s="224"/>
      <c r="N10" s="226"/>
      <c r="O10" s="211"/>
      <c r="P10" s="213"/>
      <c r="Q10" s="215"/>
      <c r="R10" s="211"/>
      <c r="S10" s="213"/>
      <c r="T10" s="33"/>
      <c r="U10" s="34" t="s">
        <v>23</v>
      </c>
      <c r="V10" s="35" t="s">
        <v>20</v>
      </c>
      <c r="W10" s="36"/>
      <c r="X10" s="34" t="s">
        <v>23</v>
      </c>
      <c r="Y10" s="37" t="s">
        <v>20</v>
      </c>
      <c r="Z10" s="33"/>
      <c r="AA10" s="34" t="s">
        <v>23</v>
      </c>
      <c r="AB10" s="35" t="s">
        <v>20</v>
      </c>
      <c r="AC10" s="36"/>
      <c r="AD10" s="34" t="s">
        <v>23</v>
      </c>
      <c r="AE10" s="37" t="s">
        <v>20</v>
      </c>
      <c r="AF10" s="33"/>
      <c r="AG10" s="34" t="s">
        <v>23</v>
      </c>
      <c r="AH10" s="35" t="s">
        <v>20</v>
      </c>
      <c r="AI10" s="36"/>
      <c r="AJ10" s="34" t="s">
        <v>23</v>
      </c>
      <c r="AK10" s="37" t="s">
        <v>20</v>
      </c>
      <c r="AL10" s="33"/>
      <c r="AM10" s="34" t="s">
        <v>23</v>
      </c>
      <c r="AN10" s="35" t="s">
        <v>20</v>
      </c>
      <c r="AO10" s="36"/>
      <c r="AP10" s="34" t="s">
        <v>23</v>
      </c>
      <c r="AQ10" s="37" t="s">
        <v>20</v>
      </c>
      <c r="AR10" s="33"/>
      <c r="AS10" s="34" t="s">
        <v>23</v>
      </c>
      <c r="AT10" s="35" t="s">
        <v>20</v>
      </c>
      <c r="AU10" s="33"/>
      <c r="AV10" s="34" t="s">
        <v>23</v>
      </c>
      <c r="AW10" s="35" t="s">
        <v>20</v>
      </c>
      <c r="AX10" s="33"/>
      <c r="AY10" s="34" t="s">
        <v>23</v>
      </c>
      <c r="AZ10" s="35" t="s">
        <v>20</v>
      </c>
      <c r="BA10" s="36"/>
      <c r="BB10" s="34" t="s">
        <v>23</v>
      </c>
      <c r="BC10" s="37" t="s">
        <v>20</v>
      </c>
      <c r="BD10" s="33"/>
      <c r="BE10" s="34" t="s">
        <v>23</v>
      </c>
      <c r="BF10" s="35" t="s">
        <v>20</v>
      </c>
      <c r="BG10" s="36"/>
      <c r="BH10" s="34" t="s">
        <v>23</v>
      </c>
      <c r="BI10" s="37" t="s">
        <v>20</v>
      </c>
      <c r="BJ10" s="33"/>
      <c r="BK10" s="34" t="s">
        <v>23</v>
      </c>
      <c r="BL10" s="35" t="s">
        <v>20</v>
      </c>
      <c r="BM10" s="36"/>
      <c r="BN10" s="34" t="s">
        <v>23</v>
      </c>
      <c r="BO10" s="37" t="s">
        <v>20</v>
      </c>
      <c r="BP10" s="33"/>
      <c r="BQ10" s="34" t="s">
        <v>23</v>
      </c>
      <c r="BR10" s="35" t="s">
        <v>20</v>
      </c>
      <c r="BS10" s="36"/>
      <c r="BT10" s="34" t="s">
        <v>23</v>
      </c>
      <c r="BU10" s="37" t="s">
        <v>20</v>
      </c>
    </row>
    <row r="11" spans="1:73" x14ac:dyDescent="0.25">
      <c r="A11" s="39">
        <v>1</v>
      </c>
      <c r="B11" s="40" t="s">
        <v>24</v>
      </c>
      <c r="C11" s="41"/>
      <c r="D11" s="41"/>
      <c r="E11" s="41"/>
      <c r="F11" s="42"/>
      <c r="G11" s="39"/>
      <c r="H11" s="41"/>
      <c r="I11" s="41"/>
      <c r="J11" s="143"/>
      <c r="K11" s="39"/>
      <c r="L11" s="41"/>
      <c r="M11" s="42"/>
      <c r="N11" s="39"/>
      <c r="O11" s="41"/>
      <c r="P11" s="42"/>
      <c r="Q11" s="39"/>
      <c r="R11" s="41"/>
      <c r="S11" s="42"/>
      <c r="T11" s="39"/>
      <c r="U11" s="41"/>
      <c r="V11" s="42"/>
      <c r="W11" s="39"/>
      <c r="X11" s="41"/>
      <c r="Y11" s="42"/>
      <c r="Z11" s="39"/>
      <c r="AA11" s="41"/>
      <c r="AB11" s="42"/>
      <c r="AC11" s="39"/>
      <c r="AD11" s="41"/>
      <c r="AE11" s="42"/>
      <c r="AF11" s="39"/>
      <c r="AG11" s="41"/>
      <c r="AH11" s="42"/>
      <c r="AI11" s="39"/>
      <c r="AJ11" s="41"/>
      <c r="AK11" s="42"/>
      <c r="AL11" s="39"/>
      <c r="AM11" s="41"/>
      <c r="AN11" s="42"/>
      <c r="AO11" s="39"/>
      <c r="AP11" s="41"/>
      <c r="AQ11" s="42"/>
      <c r="AR11" s="39"/>
      <c r="AS11" s="41"/>
      <c r="AT11" s="42"/>
      <c r="AU11" s="39"/>
      <c r="AV11" s="41"/>
      <c r="AW11" s="42"/>
      <c r="AX11" s="39"/>
      <c r="AY11" s="41"/>
      <c r="AZ11" s="42"/>
      <c r="BA11" s="39"/>
      <c r="BB11" s="41"/>
      <c r="BC11" s="42"/>
      <c r="BD11" s="39"/>
      <c r="BE11" s="41"/>
      <c r="BF11" s="42"/>
      <c r="BG11" s="39"/>
      <c r="BH11" s="41"/>
      <c r="BI11" s="42"/>
      <c r="BJ11" s="39"/>
      <c r="BK11" s="41"/>
      <c r="BL11" s="42"/>
      <c r="BM11" s="39"/>
      <c r="BN11" s="41"/>
      <c r="BO11" s="42"/>
      <c r="BP11" s="39"/>
      <c r="BQ11" s="41"/>
      <c r="BR11" s="42"/>
      <c r="BS11" s="39"/>
      <c r="BT11" s="41"/>
      <c r="BU11" s="42"/>
    </row>
    <row r="12" spans="1:73" x14ac:dyDescent="0.25">
      <c r="A12" s="46">
        <v>2</v>
      </c>
      <c r="B12" s="47" t="s">
        <v>25</v>
      </c>
      <c r="C12" s="48" t="s">
        <v>26</v>
      </c>
      <c r="D12" s="49">
        <v>410</v>
      </c>
      <c r="E12" s="50">
        <v>7</v>
      </c>
      <c r="F12" s="51">
        <v>248746.48195498521</v>
      </c>
      <c r="G12" s="46"/>
      <c r="H12" s="50"/>
      <c r="I12" s="50"/>
      <c r="J12" s="126"/>
      <c r="K12" s="46"/>
      <c r="L12" s="50"/>
      <c r="M12" s="52"/>
      <c r="N12" s="46"/>
      <c r="O12" s="50"/>
      <c r="P12" s="52"/>
      <c r="Q12" s="46"/>
      <c r="R12" s="50"/>
      <c r="S12" s="52"/>
      <c r="T12" s="46"/>
      <c r="U12" s="50"/>
      <c r="V12" s="52"/>
      <c r="W12" s="46"/>
      <c r="X12" s="50"/>
      <c r="Y12" s="52"/>
      <c r="Z12" s="46"/>
      <c r="AA12" s="50"/>
      <c r="AB12" s="52"/>
      <c r="AC12" s="46"/>
      <c r="AD12" s="50"/>
      <c r="AE12" s="52"/>
      <c r="AF12" s="46"/>
      <c r="AG12" s="50"/>
      <c r="AH12" s="52"/>
      <c r="AI12" s="46"/>
      <c r="AJ12" s="50"/>
      <c r="AK12" s="52"/>
      <c r="AL12" s="46"/>
      <c r="AM12" s="50"/>
      <c r="AN12" s="52"/>
      <c r="AO12" s="46"/>
      <c r="AP12" s="50"/>
      <c r="AQ12" s="52"/>
      <c r="AR12" s="46"/>
      <c r="AS12" s="50"/>
      <c r="AT12" s="52"/>
      <c r="AU12" s="46"/>
      <c r="AV12" s="50"/>
      <c r="AW12" s="52"/>
      <c r="AX12" s="46"/>
      <c r="AY12" s="50"/>
      <c r="AZ12" s="52"/>
      <c r="BA12" s="46"/>
      <c r="BB12" s="50"/>
      <c r="BC12" s="52"/>
      <c r="BD12" s="46"/>
      <c r="BE12" s="50"/>
      <c r="BF12" s="52"/>
      <c r="BG12" s="46"/>
      <c r="BH12" s="50"/>
      <c r="BI12" s="52"/>
      <c r="BJ12" s="46"/>
      <c r="BK12" s="50"/>
      <c r="BL12" s="52"/>
      <c r="BM12" s="46"/>
      <c r="BN12" s="50"/>
      <c r="BO12" s="52"/>
      <c r="BP12" s="46"/>
      <c r="BQ12" s="50"/>
      <c r="BR12" s="52"/>
      <c r="BS12" s="46"/>
      <c r="BT12" s="50"/>
      <c r="BU12" s="52"/>
    </row>
    <row r="13" spans="1:73" x14ac:dyDescent="0.25">
      <c r="A13" s="46">
        <v>3</v>
      </c>
      <c r="B13" s="47" t="s">
        <v>27</v>
      </c>
      <c r="C13" s="48" t="s">
        <v>26</v>
      </c>
      <c r="D13" s="50">
        <v>1084</v>
      </c>
      <c r="E13" s="50">
        <v>21</v>
      </c>
      <c r="F13" s="51">
        <v>134762.69533156074</v>
      </c>
      <c r="G13" s="46">
        <v>0</v>
      </c>
      <c r="H13" s="50">
        <v>4</v>
      </c>
      <c r="I13" s="50">
        <v>3580.6800000000003</v>
      </c>
      <c r="J13" s="126"/>
      <c r="K13" s="46"/>
      <c r="L13" s="50">
        <v>1</v>
      </c>
      <c r="M13" s="52">
        <v>1687.02</v>
      </c>
      <c r="N13" s="46"/>
      <c r="O13" s="50">
        <v>1</v>
      </c>
      <c r="P13" s="52">
        <v>631.22</v>
      </c>
      <c r="Q13" s="46"/>
      <c r="R13" s="50"/>
      <c r="S13" s="52"/>
      <c r="T13" s="46"/>
      <c r="U13" s="50"/>
      <c r="V13" s="52"/>
      <c r="W13" s="46"/>
      <c r="X13" s="50"/>
      <c r="Y13" s="52"/>
      <c r="Z13" s="46"/>
      <c r="AA13" s="50"/>
      <c r="AB13" s="52"/>
      <c r="AC13" s="46"/>
      <c r="AD13" s="50"/>
      <c r="AE13" s="52"/>
      <c r="AF13" s="46"/>
      <c r="AG13" s="50"/>
      <c r="AH13" s="52"/>
      <c r="AI13" s="46"/>
      <c r="AJ13" s="50"/>
      <c r="AK13" s="52"/>
      <c r="AL13" s="46"/>
      <c r="AM13" s="50"/>
      <c r="AN13" s="52"/>
      <c r="AO13" s="46"/>
      <c r="AP13" s="50"/>
      <c r="AQ13" s="52"/>
      <c r="AR13" s="46"/>
      <c r="AS13" s="50"/>
      <c r="AT13" s="52"/>
      <c r="AU13" s="46"/>
      <c r="AV13" s="50"/>
      <c r="AW13" s="52"/>
      <c r="AX13" s="46"/>
      <c r="AY13" s="50"/>
      <c r="AZ13" s="52"/>
      <c r="BA13" s="46"/>
      <c r="BB13" s="50"/>
      <c r="BC13" s="52"/>
      <c r="BD13" s="46"/>
      <c r="BE13" s="50"/>
      <c r="BF13" s="52"/>
      <c r="BG13" s="46"/>
      <c r="BH13" s="50"/>
      <c r="BI13" s="52"/>
      <c r="BJ13" s="46"/>
      <c r="BK13" s="50">
        <v>1</v>
      </c>
      <c r="BL13" s="52">
        <v>631.22</v>
      </c>
      <c r="BM13" s="46"/>
      <c r="BN13" s="50">
        <v>1</v>
      </c>
      <c r="BO13" s="52">
        <v>631.22</v>
      </c>
      <c r="BP13" s="46"/>
      <c r="BQ13" s="50"/>
      <c r="BR13" s="52"/>
      <c r="BS13" s="46"/>
      <c r="BT13" s="50"/>
      <c r="BU13" s="52"/>
    </row>
    <row r="14" spans="1:73" x14ac:dyDescent="0.25">
      <c r="A14" s="46">
        <v>4</v>
      </c>
      <c r="B14" s="47" t="s">
        <v>28</v>
      </c>
      <c r="C14" s="48" t="s">
        <v>29</v>
      </c>
      <c r="D14" s="50"/>
      <c r="E14" s="50"/>
      <c r="F14" s="51">
        <v>0</v>
      </c>
      <c r="G14" s="46">
        <v>339</v>
      </c>
      <c r="H14" s="50">
        <v>5</v>
      </c>
      <c r="I14" s="50">
        <v>84011.599999999991</v>
      </c>
      <c r="J14" s="126"/>
      <c r="K14" s="46"/>
      <c r="L14" s="50"/>
      <c r="M14" s="52"/>
      <c r="N14" s="46"/>
      <c r="O14" s="50"/>
      <c r="P14" s="52"/>
      <c r="Q14" s="46"/>
      <c r="R14" s="50"/>
      <c r="S14" s="52"/>
      <c r="T14" s="46"/>
      <c r="U14" s="50"/>
      <c r="V14" s="52"/>
      <c r="W14" s="46"/>
      <c r="X14" s="50"/>
      <c r="Y14" s="52"/>
      <c r="Z14" s="46">
        <v>28</v>
      </c>
      <c r="AA14" s="50">
        <v>1</v>
      </c>
      <c r="AB14" s="52">
        <v>8553.91</v>
      </c>
      <c r="AC14" s="46"/>
      <c r="AD14" s="50"/>
      <c r="AE14" s="52"/>
      <c r="AF14" s="46">
        <v>134</v>
      </c>
      <c r="AG14" s="50">
        <v>1</v>
      </c>
      <c r="AH14" s="52">
        <f>30549.68</f>
        <v>30549.68</v>
      </c>
      <c r="AI14" s="46"/>
      <c r="AJ14" s="50"/>
      <c r="AK14" s="52"/>
      <c r="AL14" s="46">
        <f>60</f>
        <v>60</v>
      </c>
      <c r="AM14" s="50">
        <v>1</v>
      </c>
      <c r="AN14" s="52">
        <f>13747.35</f>
        <v>13747.35</v>
      </c>
      <c r="AO14" s="46">
        <v>60</v>
      </c>
      <c r="AP14" s="50">
        <v>1</v>
      </c>
      <c r="AQ14" s="52">
        <f>13747.35</f>
        <v>13747.35</v>
      </c>
      <c r="AR14" s="46">
        <v>57</v>
      </c>
      <c r="AS14" s="50">
        <v>1</v>
      </c>
      <c r="AT14" s="52">
        <f>17413.31</f>
        <v>17413.310000000001</v>
      </c>
      <c r="AU14" s="46"/>
      <c r="AV14" s="50"/>
      <c r="AW14" s="52"/>
      <c r="AX14" s="46"/>
      <c r="AY14" s="50"/>
      <c r="AZ14" s="52"/>
      <c r="BA14" s="46"/>
      <c r="BB14" s="50"/>
      <c r="BC14" s="52"/>
      <c r="BD14" s="46"/>
      <c r="BE14" s="50"/>
      <c r="BF14" s="52"/>
      <c r="BG14" s="46"/>
      <c r="BH14" s="50"/>
      <c r="BI14" s="52"/>
      <c r="BJ14" s="46"/>
      <c r="BK14" s="50"/>
      <c r="BL14" s="52"/>
      <c r="BM14" s="46"/>
      <c r="BN14" s="50"/>
      <c r="BO14" s="52"/>
      <c r="BP14" s="46"/>
      <c r="BQ14" s="50"/>
      <c r="BR14" s="52"/>
      <c r="BS14" s="46"/>
      <c r="BT14" s="50"/>
      <c r="BU14" s="52"/>
    </row>
    <row r="15" spans="1:73" x14ac:dyDescent="0.25">
      <c r="A15" s="46">
        <v>5</v>
      </c>
      <c r="B15" s="47" t="s">
        <v>30</v>
      </c>
      <c r="C15" s="48"/>
      <c r="D15" s="50"/>
      <c r="E15" s="50"/>
      <c r="F15" s="51">
        <v>0</v>
      </c>
      <c r="G15" s="46">
        <v>0</v>
      </c>
      <c r="H15" s="50">
        <v>0</v>
      </c>
      <c r="I15" s="50">
        <v>0</v>
      </c>
      <c r="J15" s="126"/>
      <c r="K15" s="46"/>
      <c r="L15" s="50"/>
      <c r="M15" s="52"/>
      <c r="N15" s="46"/>
      <c r="O15" s="50"/>
      <c r="P15" s="52"/>
      <c r="Q15" s="46"/>
      <c r="R15" s="50"/>
      <c r="S15" s="52"/>
      <c r="T15" s="46"/>
      <c r="U15" s="50"/>
      <c r="V15" s="52"/>
      <c r="W15" s="46"/>
      <c r="X15" s="50"/>
      <c r="Y15" s="52"/>
      <c r="Z15" s="46"/>
      <c r="AA15" s="50"/>
      <c r="AB15" s="52"/>
      <c r="AC15" s="46"/>
      <c r="AD15" s="50"/>
      <c r="AE15" s="52"/>
      <c r="AF15" s="46"/>
      <c r="AG15" s="50"/>
      <c r="AH15" s="52"/>
      <c r="AI15" s="46"/>
      <c r="AJ15" s="50"/>
      <c r="AK15" s="52"/>
      <c r="AL15" s="46"/>
      <c r="AM15" s="50"/>
      <c r="AN15" s="52"/>
      <c r="AO15" s="46"/>
      <c r="AP15" s="50"/>
      <c r="AQ15" s="52"/>
      <c r="AR15" s="46"/>
      <c r="AS15" s="50"/>
      <c r="AT15" s="52"/>
      <c r="AU15" s="46"/>
      <c r="AV15" s="50"/>
      <c r="AW15" s="52"/>
      <c r="AX15" s="46"/>
      <c r="AY15" s="50"/>
      <c r="AZ15" s="52"/>
      <c r="BA15" s="46"/>
      <c r="BB15" s="50"/>
      <c r="BC15" s="52"/>
      <c r="BD15" s="46"/>
      <c r="BE15" s="50"/>
      <c r="BF15" s="52"/>
      <c r="BG15" s="46"/>
      <c r="BH15" s="50"/>
      <c r="BI15" s="52"/>
      <c r="BJ15" s="46"/>
      <c r="BK15" s="50"/>
      <c r="BL15" s="52"/>
      <c r="BM15" s="46"/>
      <c r="BN15" s="50"/>
      <c r="BO15" s="52"/>
      <c r="BP15" s="46"/>
      <c r="BQ15" s="50"/>
      <c r="BR15" s="52"/>
      <c r="BS15" s="46"/>
      <c r="BT15" s="50"/>
      <c r="BU15" s="52"/>
    </row>
    <row r="16" spans="1:73" x14ac:dyDescent="0.25">
      <c r="A16" s="46">
        <v>6</v>
      </c>
      <c r="B16" s="53" t="s">
        <v>31</v>
      </c>
      <c r="C16" s="48" t="s">
        <v>26</v>
      </c>
      <c r="D16" s="50">
        <v>1120</v>
      </c>
      <c r="E16" s="50">
        <v>11</v>
      </c>
      <c r="F16" s="51">
        <v>332958.20958280005</v>
      </c>
      <c r="G16" s="46">
        <v>2920</v>
      </c>
      <c r="H16" s="50">
        <v>9</v>
      </c>
      <c r="I16" s="50">
        <v>820790.33000000007</v>
      </c>
      <c r="J16" s="126"/>
      <c r="K16" s="46"/>
      <c r="L16" s="50"/>
      <c r="M16" s="52"/>
      <c r="N16" s="46">
        <f>150+200</f>
        <v>350</v>
      </c>
      <c r="O16" s="50">
        <v>1</v>
      </c>
      <c r="P16" s="52">
        <f>72577.95+99331.38</f>
        <v>171909.33000000002</v>
      </c>
      <c r="Q16" s="46"/>
      <c r="R16" s="50"/>
      <c r="S16" s="52"/>
      <c r="T16" s="46"/>
      <c r="U16" s="50"/>
      <c r="V16" s="52"/>
      <c r="W16" s="46">
        <v>210</v>
      </c>
      <c r="X16" s="50">
        <v>1</v>
      </c>
      <c r="Y16" s="52">
        <f>103527.47</f>
        <v>103527.47</v>
      </c>
      <c r="Z16" s="46"/>
      <c r="AA16" s="50"/>
      <c r="AB16" s="52"/>
      <c r="AC16" s="46"/>
      <c r="AD16" s="50"/>
      <c r="AE16" s="52"/>
      <c r="AF16" s="46">
        <v>550</v>
      </c>
      <c r="AG16" s="50">
        <v>1</v>
      </c>
      <c r="AH16" s="52">
        <f>67589</f>
        <v>67589</v>
      </c>
      <c r="AI16" s="46"/>
      <c r="AJ16" s="50"/>
      <c r="AK16" s="52"/>
      <c r="AL16" s="46">
        <v>550</v>
      </c>
      <c r="AM16" s="50">
        <v>1</v>
      </c>
      <c r="AN16" s="52">
        <f>67589</f>
        <v>67589</v>
      </c>
      <c r="AO16" s="46">
        <v>550</v>
      </c>
      <c r="AP16" s="50">
        <v>1</v>
      </c>
      <c r="AQ16" s="52">
        <f>67589</f>
        <v>67589</v>
      </c>
      <c r="AR16" s="46"/>
      <c r="AS16" s="50"/>
      <c r="AT16" s="52"/>
      <c r="AU16" s="46"/>
      <c r="AV16" s="50"/>
      <c r="AW16" s="52"/>
      <c r="AX16" s="46"/>
      <c r="AY16" s="50"/>
      <c r="AZ16" s="52"/>
      <c r="BA16" s="46">
        <f>10+100</f>
        <v>110</v>
      </c>
      <c r="BB16" s="50">
        <v>1</v>
      </c>
      <c r="BC16" s="52">
        <f>3136+44840.64</f>
        <v>47976.639999999999</v>
      </c>
      <c r="BD16" s="46"/>
      <c r="BE16" s="50">
        <v>1</v>
      </c>
      <c r="BF16" s="52">
        <f>539.11</f>
        <v>539.11</v>
      </c>
      <c r="BG16" s="46">
        <f>100</f>
        <v>100</v>
      </c>
      <c r="BH16" s="50">
        <v>1</v>
      </c>
      <c r="BI16" s="52">
        <f>61174.4</f>
        <v>61174.400000000001</v>
      </c>
      <c r="BJ16" s="46">
        <f>200+100+200</f>
        <v>500</v>
      </c>
      <c r="BK16" s="50">
        <v>1</v>
      </c>
      <c r="BL16" s="52">
        <f>97422.03+45824.52+89649.83</f>
        <v>232896.38</v>
      </c>
      <c r="BM16" s="46"/>
      <c r="BN16" s="50"/>
      <c r="BO16" s="52"/>
      <c r="BP16" s="46"/>
      <c r="BQ16" s="50"/>
      <c r="BR16" s="52"/>
      <c r="BS16" s="46"/>
      <c r="BT16" s="50"/>
      <c r="BU16" s="52"/>
    </row>
    <row r="17" spans="1:73" x14ac:dyDescent="0.25">
      <c r="A17" s="46">
        <v>7</v>
      </c>
      <c r="B17" s="47" t="s">
        <v>32</v>
      </c>
      <c r="C17" s="48" t="s">
        <v>33</v>
      </c>
      <c r="D17" s="50"/>
      <c r="E17" s="50"/>
      <c r="F17" s="51">
        <v>0</v>
      </c>
      <c r="G17" s="46">
        <v>42</v>
      </c>
      <c r="H17" s="50">
        <v>10</v>
      </c>
      <c r="I17" s="50">
        <v>23311.07</v>
      </c>
      <c r="J17" s="126"/>
      <c r="K17" s="46">
        <v>6</v>
      </c>
      <c r="L17" s="50">
        <v>1</v>
      </c>
      <c r="M17" s="52">
        <f>2870.77</f>
        <v>2870.77</v>
      </c>
      <c r="N17" s="46">
        <v>4</v>
      </c>
      <c r="O17" s="50">
        <v>1</v>
      </c>
      <c r="P17" s="52">
        <f>1913.84</f>
        <v>1913.84</v>
      </c>
      <c r="Q17" s="46"/>
      <c r="R17" s="50"/>
      <c r="S17" s="52"/>
      <c r="T17" s="46">
        <v>1</v>
      </c>
      <c r="U17" s="50">
        <v>1</v>
      </c>
      <c r="V17" s="52">
        <f>1132.13</f>
        <v>1132.1300000000001</v>
      </c>
      <c r="W17" s="46"/>
      <c r="X17" s="50"/>
      <c r="Y17" s="52"/>
      <c r="Z17" s="46"/>
      <c r="AA17" s="50"/>
      <c r="AB17" s="52"/>
      <c r="AC17" s="46">
        <v>6</v>
      </c>
      <c r="AD17" s="50">
        <v>1</v>
      </c>
      <c r="AE17" s="52">
        <f>2870.77</f>
        <v>2870.77</v>
      </c>
      <c r="AF17" s="46"/>
      <c r="AG17" s="50"/>
      <c r="AH17" s="52"/>
      <c r="AI17" s="46"/>
      <c r="AJ17" s="50"/>
      <c r="AK17" s="52"/>
      <c r="AL17" s="46"/>
      <c r="AM17" s="50"/>
      <c r="AN17" s="52"/>
      <c r="AO17" s="46">
        <v>2</v>
      </c>
      <c r="AP17" s="50">
        <v>1</v>
      </c>
      <c r="AQ17" s="52">
        <f>961.41</f>
        <v>961.41</v>
      </c>
      <c r="AR17" s="46"/>
      <c r="AS17" s="50"/>
      <c r="AT17" s="52"/>
      <c r="AU17" s="46"/>
      <c r="AV17" s="50"/>
      <c r="AW17" s="52"/>
      <c r="AX17" s="46">
        <v>10</v>
      </c>
      <c r="AY17" s="50">
        <v>1</v>
      </c>
      <c r="AZ17" s="52">
        <f>4784.61</f>
        <v>4784.6099999999997</v>
      </c>
      <c r="BA17" s="46"/>
      <c r="BB17" s="50"/>
      <c r="BC17" s="52"/>
      <c r="BD17" s="46">
        <f>3+2</f>
        <v>5</v>
      </c>
      <c r="BE17" s="50">
        <v>1</v>
      </c>
      <c r="BF17" s="52">
        <f>1771.84+961.41</f>
        <v>2733.25</v>
      </c>
      <c r="BG17" s="46">
        <f>3</f>
        <v>3</v>
      </c>
      <c r="BH17" s="50">
        <v>1</v>
      </c>
      <c r="BI17" s="52">
        <f>1771.84</f>
        <v>1771.84</v>
      </c>
      <c r="BJ17" s="46">
        <v>4</v>
      </c>
      <c r="BK17" s="50">
        <v>1</v>
      </c>
      <c r="BL17" s="52">
        <f>1913.84</f>
        <v>1913.84</v>
      </c>
      <c r="BM17" s="46"/>
      <c r="BN17" s="50"/>
      <c r="BO17" s="52"/>
      <c r="BP17" s="46"/>
      <c r="BQ17" s="50"/>
      <c r="BR17" s="52"/>
      <c r="BS17" s="46">
        <v>1</v>
      </c>
      <c r="BT17" s="50">
        <v>1</v>
      </c>
      <c r="BU17" s="52">
        <f>2358.61</f>
        <v>2358.61</v>
      </c>
    </row>
    <row r="18" spans="1:73" x14ac:dyDescent="0.25">
      <c r="A18" s="46">
        <v>8</v>
      </c>
      <c r="B18" s="47" t="s">
        <v>34</v>
      </c>
      <c r="C18" s="48"/>
      <c r="D18" s="50"/>
      <c r="E18" s="50"/>
      <c r="F18" s="51">
        <v>0</v>
      </c>
      <c r="G18" s="46">
        <v>0</v>
      </c>
      <c r="H18" s="50">
        <v>0</v>
      </c>
      <c r="I18" s="50">
        <v>0</v>
      </c>
      <c r="J18" s="126"/>
      <c r="K18" s="46"/>
      <c r="L18" s="50"/>
      <c r="M18" s="52"/>
      <c r="N18" s="46"/>
      <c r="O18" s="50"/>
      <c r="P18" s="52"/>
      <c r="Q18" s="46"/>
      <c r="R18" s="50"/>
      <c r="S18" s="52"/>
      <c r="T18" s="46"/>
      <c r="U18" s="50"/>
      <c r="V18" s="52"/>
      <c r="W18" s="46"/>
      <c r="X18" s="50"/>
      <c r="Y18" s="52"/>
      <c r="Z18" s="46"/>
      <c r="AA18" s="50"/>
      <c r="AB18" s="52"/>
      <c r="AC18" s="46"/>
      <c r="AD18" s="50"/>
      <c r="AE18" s="52"/>
      <c r="AF18" s="46"/>
      <c r="AG18" s="50"/>
      <c r="AH18" s="52"/>
      <c r="AI18" s="46"/>
      <c r="AJ18" s="50"/>
      <c r="AK18" s="52"/>
      <c r="AL18" s="46"/>
      <c r="AM18" s="50"/>
      <c r="AN18" s="52"/>
      <c r="AO18" s="46"/>
      <c r="AP18" s="50"/>
      <c r="AQ18" s="52"/>
      <c r="AR18" s="46"/>
      <c r="AS18" s="50"/>
      <c r="AT18" s="52"/>
      <c r="AU18" s="46"/>
      <c r="AV18" s="50"/>
      <c r="AW18" s="52"/>
      <c r="AX18" s="46"/>
      <c r="AY18" s="50"/>
      <c r="AZ18" s="52"/>
      <c r="BA18" s="46"/>
      <c r="BB18" s="50"/>
      <c r="BC18" s="52"/>
      <c r="BD18" s="46"/>
      <c r="BE18" s="50"/>
      <c r="BF18" s="52"/>
      <c r="BG18" s="46"/>
      <c r="BH18" s="50"/>
      <c r="BI18" s="52"/>
      <c r="BJ18" s="46"/>
      <c r="BK18" s="50"/>
      <c r="BL18" s="52"/>
      <c r="BM18" s="46"/>
      <c r="BN18" s="50"/>
      <c r="BO18" s="52"/>
      <c r="BP18" s="46"/>
      <c r="BQ18" s="50"/>
      <c r="BR18" s="52"/>
      <c r="BS18" s="46"/>
      <c r="BT18" s="50"/>
      <c r="BU18" s="52"/>
    </row>
    <row r="19" spans="1:73" ht="42" customHeight="1" x14ac:dyDescent="0.25">
      <c r="A19" s="46">
        <v>9</v>
      </c>
      <c r="B19" s="54" t="s">
        <v>35</v>
      </c>
      <c r="C19" s="48" t="s">
        <v>33</v>
      </c>
      <c r="D19" s="50"/>
      <c r="E19" s="50"/>
      <c r="F19" s="55">
        <v>0</v>
      </c>
      <c r="G19" s="56">
        <v>1</v>
      </c>
      <c r="H19" s="57">
        <v>10</v>
      </c>
      <c r="I19" s="57">
        <v>52866.840000000004</v>
      </c>
      <c r="J19" s="146"/>
      <c r="K19" s="46"/>
      <c r="L19" s="50"/>
      <c r="M19" s="52"/>
      <c r="N19" s="60"/>
      <c r="O19" s="50">
        <v>1</v>
      </c>
      <c r="P19" s="52">
        <f>423.36</f>
        <v>423.36</v>
      </c>
      <c r="Q19" s="46"/>
      <c r="R19" s="50">
        <v>1</v>
      </c>
      <c r="S19" s="52">
        <f>7938.96</f>
        <v>7938.96</v>
      </c>
      <c r="T19" s="46"/>
      <c r="U19" s="50">
        <v>1</v>
      </c>
      <c r="V19" s="61">
        <f>846.72+7938.96</f>
        <v>8785.68</v>
      </c>
      <c r="W19" s="46"/>
      <c r="X19" s="50"/>
      <c r="Y19" s="52"/>
      <c r="Z19" s="46"/>
      <c r="AA19" s="50"/>
      <c r="AB19" s="52"/>
      <c r="AC19" s="46"/>
      <c r="AD19" s="50"/>
      <c r="AE19" s="52"/>
      <c r="AF19" s="46"/>
      <c r="AG19" s="50"/>
      <c r="AH19" s="52"/>
      <c r="AI19" s="46"/>
      <c r="AJ19" s="50">
        <v>1</v>
      </c>
      <c r="AK19" s="52">
        <f>8181.02</f>
        <v>8181.02</v>
      </c>
      <c r="AL19" s="46"/>
      <c r="AM19" s="50"/>
      <c r="AN19" s="52"/>
      <c r="AO19" s="46"/>
      <c r="AP19" s="50">
        <v>1</v>
      </c>
      <c r="AQ19" s="52">
        <f>15877.92</f>
        <v>15877.92</v>
      </c>
      <c r="AR19" s="46"/>
      <c r="AS19" s="50">
        <v>1</v>
      </c>
      <c r="AT19" s="52">
        <f>7938.96</f>
        <v>7938.96</v>
      </c>
      <c r="AU19" s="46"/>
      <c r="AV19" s="50">
        <v>1</v>
      </c>
      <c r="AW19" s="61">
        <f>846.72+1106.52</f>
        <v>1953.24</v>
      </c>
      <c r="AX19" s="46"/>
      <c r="AY19" s="50"/>
      <c r="AZ19" s="59"/>
      <c r="BA19" s="46">
        <v>1</v>
      </c>
      <c r="BB19" s="50">
        <v>1</v>
      </c>
      <c r="BC19" s="59">
        <f>920.98</f>
        <v>920.98</v>
      </c>
      <c r="BD19" s="46"/>
      <c r="BE19" s="50"/>
      <c r="BF19" s="59"/>
      <c r="BG19" s="46"/>
      <c r="BH19" s="50"/>
      <c r="BI19" s="59"/>
      <c r="BJ19" s="46"/>
      <c r="BK19" s="50">
        <v>1</v>
      </c>
      <c r="BL19" s="52">
        <f>423.36</f>
        <v>423.36</v>
      </c>
      <c r="BM19" s="46"/>
      <c r="BN19" s="50">
        <v>1</v>
      </c>
      <c r="BO19" s="52">
        <f>423.36</f>
        <v>423.36</v>
      </c>
      <c r="BP19" s="46"/>
      <c r="BQ19" s="50"/>
      <c r="BR19" s="52"/>
      <c r="BS19" s="46"/>
      <c r="BT19" s="50"/>
      <c r="BU19" s="52"/>
    </row>
    <row r="20" spans="1:73" x14ac:dyDescent="0.25">
      <c r="A20" s="62">
        <v>10</v>
      </c>
      <c r="B20" s="63" t="s">
        <v>36</v>
      </c>
      <c r="C20" s="64"/>
      <c r="D20" s="45"/>
      <c r="E20" s="45"/>
      <c r="F20" s="51">
        <v>0</v>
      </c>
      <c r="G20" s="46">
        <v>0</v>
      </c>
      <c r="H20" s="50">
        <v>0</v>
      </c>
      <c r="I20" s="50">
        <v>0</v>
      </c>
      <c r="J20" s="126"/>
      <c r="K20" s="62"/>
      <c r="L20" s="45"/>
      <c r="M20" s="66"/>
      <c r="N20" s="62"/>
      <c r="O20" s="45"/>
      <c r="P20" s="66"/>
      <c r="Q20" s="62"/>
      <c r="R20" s="45"/>
      <c r="S20" s="66"/>
      <c r="T20" s="62"/>
      <c r="U20" s="45"/>
      <c r="V20" s="66"/>
      <c r="W20" s="62"/>
      <c r="X20" s="45"/>
      <c r="Y20" s="66"/>
      <c r="Z20" s="62"/>
      <c r="AA20" s="45"/>
      <c r="AB20" s="66"/>
      <c r="AC20" s="62"/>
      <c r="AD20" s="45"/>
      <c r="AE20" s="66"/>
      <c r="AF20" s="62"/>
      <c r="AG20" s="45"/>
      <c r="AH20" s="66"/>
      <c r="AI20" s="62"/>
      <c r="AJ20" s="45"/>
      <c r="AK20" s="66"/>
      <c r="AL20" s="62"/>
      <c r="AM20" s="45"/>
      <c r="AN20" s="66"/>
      <c r="AO20" s="62"/>
      <c r="AP20" s="45"/>
      <c r="AQ20" s="66"/>
      <c r="AR20" s="62"/>
      <c r="AS20" s="45"/>
      <c r="AT20" s="66"/>
      <c r="AU20" s="62"/>
      <c r="AV20" s="45"/>
      <c r="AW20" s="66"/>
      <c r="AX20" s="62"/>
      <c r="AY20" s="45"/>
      <c r="AZ20" s="66"/>
      <c r="BA20" s="62"/>
      <c r="BB20" s="45"/>
      <c r="BC20" s="66"/>
      <c r="BD20" s="62"/>
      <c r="BE20" s="45"/>
      <c r="BF20" s="66"/>
      <c r="BG20" s="62"/>
      <c r="BH20" s="45"/>
      <c r="BI20" s="66"/>
      <c r="BJ20" s="62"/>
      <c r="BK20" s="45"/>
      <c r="BL20" s="66"/>
      <c r="BM20" s="62"/>
      <c r="BN20" s="45"/>
      <c r="BO20" s="66"/>
      <c r="BP20" s="62"/>
      <c r="BQ20" s="45"/>
      <c r="BR20" s="66"/>
      <c r="BS20" s="62"/>
      <c r="BT20" s="45"/>
      <c r="BU20" s="66"/>
    </row>
    <row r="21" spans="1:73" x14ac:dyDescent="0.25">
      <c r="A21" s="46">
        <v>11</v>
      </c>
      <c r="B21" s="47" t="s">
        <v>37</v>
      </c>
      <c r="C21" s="48" t="s">
        <v>38</v>
      </c>
      <c r="D21" s="67">
        <v>22</v>
      </c>
      <c r="E21" s="67">
        <v>6</v>
      </c>
      <c r="F21" s="51">
        <v>561881.31241895177</v>
      </c>
      <c r="G21" s="46">
        <v>24</v>
      </c>
      <c r="H21" s="50">
        <v>5</v>
      </c>
      <c r="I21" s="50">
        <v>268558.59000000003</v>
      </c>
      <c r="J21" s="126"/>
      <c r="K21" s="46"/>
      <c r="L21" s="50"/>
      <c r="M21" s="52"/>
      <c r="N21" s="46">
        <f>4+2</f>
        <v>6</v>
      </c>
      <c r="O21" s="50">
        <v>1</v>
      </c>
      <c r="P21" s="52">
        <f>39826.89+25032.76+30796.77</f>
        <v>95656.42</v>
      </c>
      <c r="Q21" s="46">
        <f>3+1</f>
        <v>4</v>
      </c>
      <c r="R21" s="50">
        <v>1</v>
      </c>
      <c r="S21" s="52">
        <f>32328.74+9030.12</f>
        <v>41358.86</v>
      </c>
      <c r="T21" s="46">
        <f>4</f>
        <v>4</v>
      </c>
      <c r="U21" s="50">
        <v>1</v>
      </c>
      <c r="V21" s="52">
        <f>36120.5</f>
        <v>36120.5</v>
      </c>
      <c r="W21" s="46">
        <f>6</f>
        <v>6</v>
      </c>
      <c r="X21" s="50">
        <v>1</v>
      </c>
      <c r="Y21" s="52">
        <f>57325.57</f>
        <v>57325.57</v>
      </c>
      <c r="Z21" s="46"/>
      <c r="AA21" s="50"/>
      <c r="AB21" s="52"/>
      <c r="AC21" s="46">
        <v>4</v>
      </c>
      <c r="AD21" s="50">
        <v>1</v>
      </c>
      <c r="AE21" s="52">
        <f>38097.24</f>
        <v>38097.24</v>
      </c>
      <c r="AF21" s="46"/>
      <c r="AG21" s="50"/>
      <c r="AH21" s="52"/>
      <c r="AI21" s="46"/>
      <c r="AJ21" s="50"/>
      <c r="AK21" s="52"/>
      <c r="AL21" s="46"/>
      <c r="AM21" s="50"/>
      <c r="AN21" s="52"/>
      <c r="AO21" s="46"/>
      <c r="AP21" s="50"/>
      <c r="AQ21" s="52"/>
      <c r="AR21" s="46"/>
      <c r="AS21" s="50"/>
      <c r="AT21" s="52"/>
      <c r="AU21" s="46"/>
      <c r="AV21" s="50"/>
      <c r="AW21" s="52"/>
      <c r="AX21" s="46"/>
      <c r="AY21" s="50"/>
      <c r="AZ21" s="52"/>
      <c r="BA21" s="46"/>
      <c r="BB21" s="50"/>
      <c r="BC21" s="52"/>
      <c r="BD21" s="46"/>
      <c r="BE21" s="50"/>
      <c r="BF21" s="52"/>
      <c r="BG21" s="46"/>
      <c r="BH21" s="50"/>
      <c r="BI21" s="52"/>
      <c r="BJ21" s="46"/>
      <c r="BK21" s="50"/>
      <c r="BL21" s="52"/>
      <c r="BM21" s="46"/>
      <c r="BN21" s="50"/>
      <c r="BO21" s="52"/>
      <c r="BP21" s="46"/>
      <c r="BQ21" s="50"/>
      <c r="BR21" s="52"/>
      <c r="BS21" s="46"/>
      <c r="BT21" s="50"/>
      <c r="BU21" s="52"/>
    </row>
    <row r="22" spans="1:73" ht="20.25" customHeight="1" x14ac:dyDescent="0.25">
      <c r="A22" s="46">
        <v>12</v>
      </c>
      <c r="B22" s="53" t="s">
        <v>39</v>
      </c>
      <c r="C22" s="48" t="s">
        <v>29</v>
      </c>
      <c r="D22" s="50">
        <v>1460</v>
      </c>
      <c r="E22" s="50">
        <v>21</v>
      </c>
      <c r="F22" s="51">
        <v>380233.92592554598</v>
      </c>
      <c r="G22" s="46">
        <v>466</v>
      </c>
      <c r="H22" s="50">
        <v>18</v>
      </c>
      <c r="I22" s="50">
        <v>635963.43999999994</v>
      </c>
      <c r="J22" s="126"/>
      <c r="K22" s="46">
        <f>5+3+5</f>
        <v>13</v>
      </c>
      <c r="L22" s="50">
        <v>1</v>
      </c>
      <c r="M22" s="52">
        <f>4040.96+7379.09+1253.43+11444.04+3585.09</f>
        <v>27702.61</v>
      </c>
      <c r="N22" s="46">
        <f>34</f>
        <v>34</v>
      </c>
      <c r="O22" s="50">
        <v>1</v>
      </c>
      <c r="P22" s="52">
        <f>24684.8+14448.2+11950.03</f>
        <v>51083.03</v>
      </c>
      <c r="Q22" s="46">
        <f>18+24</f>
        <v>42</v>
      </c>
      <c r="R22" s="50">
        <v>1</v>
      </c>
      <c r="S22" s="52">
        <f>26597.02+31649.4+1195.03</f>
        <v>59441.45</v>
      </c>
      <c r="T22" s="46">
        <f>5+36</f>
        <v>41</v>
      </c>
      <c r="U22" s="50">
        <v>1</v>
      </c>
      <c r="V22" s="52">
        <f>21228.65+20908.56</f>
        <v>42137.210000000006</v>
      </c>
      <c r="W22" s="46">
        <v>5</v>
      </c>
      <c r="X22" s="50">
        <v>1</v>
      </c>
      <c r="Y22" s="52">
        <f>4267.11</f>
        <v>4267.1099999999997</v>
      </c>
      <c r="Z22" s="46">
        <f>3+36+8</f>
        <v>47</v>
      </c>
      <c r="AA22" s="50">
        <v>1</v>
      </c>
      <c r="AB22" s="52">
        <f>17862.57+21559.98+4803.03</f>
        <v>44225.58</v>
      </c>
      <c r="AC22" s="46">
        <f>34+6+4</f>
        <v>44</v>
      </c>
      <c r="AD22" s="50">
        <v>1</v>
      </c>
      <c r="AE22" s="52">
        <f>22404.48+13979.84+18156.84</f>
        <v>54541.16</v>
      </c>
      <c r="AF22" s="46">
        <f>3</f>
        <v>3</v>
      </c>
      <c r="AG22" s="50">
        <v>1</v>
      </c>
      <c r="AH22" s="52">
        <f>17080.86</f>
        <v>17080.86</v>
      </c>
      <c r="AI22" s="46">
        <f>20</f>
        <v>20</v>
      </c>
      <c r="AJ22" s="50">
        <v>1</v>
      </c>
      <c r="AK22" s="52">
        <f>626.71+10827.16</f>
        <v>11453.869999999999</v>
      </c>
      <c r="AL22" s="46"/>
      <c r="AM22" s="50"/>
      <c r="AN22" s="52"/>
      <c r="AO22" s="46">
        <f>4+4</f>
        <v>8</v>
      </c>
      <c r="AP22" s="50">
        <v>1</v>
      </c>
      <c r="AQ22" s="52">
        <f>13329.95+3492.16+4056.81+1329.8</f>
        <v>22208.720000000001</v>
      </c>
      <c r="AR22" s="46">
        <f>5+6</f>
        <v>11</v>
      </c>
      <c r="AS22" s="50">
        <v>1</v>
      </c>
      <c r="AT22" s="52">
        <f>39830.38+21112</f>
        <v>60942.38</v>
      </c>
      <c r="AU22" s="46">
        <f>5+5+34</f>
        <v>44</v>
      </c>
      <c r="AV22" s="50">
        <v>1</v>
      </c>
      <c r="AW22" s="52">
        <f>39830.38+11582.28+25939.2+3122.89</f>
        <v>80474.75</v>
      </c>
      <c r="AX22" s="46"/>
      <c r="AY22" s="50"/>
      <c r="AZ22" s="52"/>
      <c r="BA22" s="46">
        <f>6+6</f>
        <v>12</v>
      </c>
      <c r="BB22" s="50">
        <v>1</v>
      </c>
      <c r="BC22" s="52">
        <f>5556.54+7037.65+1792.54</f>
        <v>14386.73</v>
      </c>
      <c r="BD22" s="46"/>
      <c r="BE22" s="50"/>
      <c r="BF22" s="52"/>
      <c r="BG22" s="46">
        <f>4</f>
        <v>4</v>
      </c>
      <c r="BH22" s="50">
        <v>1</v>
      </c>
      <c r="BI22" s="52">
        <f>10086.2+14904.96</f>
        <v>24991.16</v>
      </c>
      <c r="BJ22" s="46">
        <f>34+6+20</f>
        <v>60</v>
      </c>
      <c r="BK22" s="50">
        <v>1</v>
      </c>
      <c r="BL22" s="52">
        <f>20142.08+21616+11946.83</f>
        <v>53704.91</v>
      </c>
      <c r="BM22" s="46">
        <f>34+6</f>
        <v>40</v>
      </c>
      <c r="BN22" s="50">
        <v>1</v>
      </c>
      <c r="BO22" s="52">
        <f>20142.08+20733.34</f>
        <v>40875.42</v>
      </c>
      <c r="BP22" s="46">
        <f>34</f>
        <v>34</v>
      </c>
      <c r="BQ22" s="50">
        <v>1</v>
      </c>
      <c r="BR22" s="52">
        <f>20478.08</f>
        <v>20478.080000000002</v>
      </c>
      <c r="BS22" s="46">
        <f>4</f>
        <v>4</v>
      </c>
      <c r="BT22" s="50">
        <v>1</v>
      </c>
      <c r="BU22" s="52">
        <f>3578.35+2390.06</f>
        <v>5968.41</v>
      </c>
    </row>
    <row r="23" spans="1:73" x14ac:dyDescent="0.25">
      <c r="A23" s="46">
        <v>13</v>
      </c>
      <c r="B23" s="47" t="s">
        <v>40</v>
      </c>
      <c r="C23" s="48" t="s">
        <v>29</v>
      </c>
      <c r="D23" s="50">
        <v>601</v>
      </c>
      <c r="E23" s="50">
        <v>21</v>
      </c>
      <c r="F23" s="51">
        <v>154107.7556944681</v>
      </c>
      <c r="G23" s="46">
        <v>920.92</v>
      </c>
      <c r="H23" s="50">
        <v>19</v>
      </c>
      <c r="I23" s="50">
        <v>421162.11</v>
      </c>
      <c r="J23" s="126"/>
      <c r="K23" s="46"/>
      <c r="L23" s="50">
        <v>1</v>
      </c>
      <c r="M23" s="52">
        <f>1347.78+18893.62</f>
        <v>20241.399999999998</v>
      </c>
      <c r="N23" s="46">
        <f>4+4</f>
        <v>8</v>
      </c>
      <c r="O23" s="50">
        <v>1</v>
      </c>
      <c r="P23" s="52">
        <f>22317.68+16542.4+18893.62</f>
        <v>57753.7</v>
      </c>
      <c r="Q23" s="46">
        <f>11+4</f>
        <v>15</v>
      </c>
      <c r="R23" s="50">
        <v>1</v>
      </c>
      <c r="S23" s="52">
        <f>37242.56+7533.12+4620.63</f>
        <v>49396.31</v>
      </c>
      <c r="T23" s="46">
        <v>5</v>
      </c>
      <c r="U23" s="50">
        <v>1</v>
      </c>
      <c r="V23" s="52">
        <f>2111</f>
        <v>2111</v>
      </c>
      <c r="W23" s="46">
        <f>5</f>
        <v>5</v>
      </c>
      <c r="X23" s="50">
        <v>1</v>
      </c>
      <c r="Y23" s="52">
        <f>1236.48+8684.19+1132.13</f>
        <v>11052.8</v>
      </c>
      <c r="Z23" s="46">
        <f>2+4</f>
        <v>6</v>
      </c>
      <c r="AA23" s="50">
        <v>1</v>
      </c>
      <c r="AB23" s="52">
        <f>5478.59+19196.87+18893.62</f>
        <v>43569.08</v>
      </c>
      <c r="AC23" s="46">
        <f>6+7</f>
        <v>13</v>
      </c>
      <c r="AD23" s="50">
        <v>1</v>
      </c>
      <c r="AE23" s="52">
        <f>15151.29+7206.13+2015.38+18893.62</f>
        <v>43266.42</v>
      </c>
      <c r="AF23" s="46">
        <f>5+2</f>
        <v>7</v>
      </c>
      <c r="AG23" s="50">
        <v>1</v>
      </c>
      <c r="AH23" s="52">
        <f>32866.63+1859.2+18893.62</f>
        <v>53619.45</v>
      </c>
      <c r="AI23" s="46"/>
      <c r="AJ23" s="50"/>
      <c r="AK23" s="52"/>
      <c r="AL23" s="46">
        <f>6+4</f>
        <v>10</v>
      </c>
      <c r="AM23" s="50">
        <v>1</v>
      </c>
      <c r="AN23" s="52">
        <f>5994.24+16514.79</f>
        <v>22509.03</v>
      </c>
      <c r="AO23" s="46">
        <f>6</f>
        <v>6</v>
      </c>
      <c r="AP23" s="50">
        <v>1</v>
      </c>
      <c r="AQ23" s="52">
        <f>15151.29+2021.67</f>
        <v>17172.96</v>
      </c>
      <c r="AR23" s="46"/>
      <c r="AS23" s="50"/>
      <c r="AT23" s="52"/>
      <c r="AU23" s="46">
        <f>5+4+4</f>
        <v>13</v>
      </c>
      <c r="AV23" s="50">
        <v>1</v>
      </c>
      <c r="AW23" s="52">
        <f>5642.88+3542.41+6136.89</f>
        <v>15322.18</v>
      </c>
      <c r="AX23" s="46">
        <f>5+6</f>
        <v>11</v>
      </c>
      <c r="AY23" s="50">
        <v>1</v>
      </c>
      <c r="AZ23" s="52">
        <f>4899.32+1744.96</f>
        <v>6644.28</v>
      </c>
      <c r="BA23" s="46"/>
      <c r="BB23" s="50">
        <v>1</v>
      </c>
      <c r="BC23" s="52">
        <f>2488.9</f>
        <v>2488.9</v>
      </c>
      <c r="BD23" s="46"/>
      <c r="BE23" s="50">
        <v>1</v>
      </c>
      <c r="BF23" s="52">
        <f>18893.62</f>
        <v>18893.62</v>
      </c>
      <c r="BG23" s="46">
        <f>6</f>
        <v>6</v>
      </c>
      <c r="BH23" s="50">
        <v>1</v>
      </c>
      <c r="BI23" s="52">
        <f>2640.96</f>
        <v>2640.96</v>
      </c>
      <c r="BJ23" s="46">
        <f>4+6</f>
        <v>10</v>
      </c>
      <c r="BK23" s="50">
        <v>1</v>
      </c>
      <c r="BL23" s="52">
        <f>18900.95+3212.16+5840.38</f>
        <v>27953.49</v>
      </c>
      <c r="BM23" s="46"/>
      <c r="BN23" s="50">
        <v>1</v>
      </c>
      <c r="BO23" s="52">
        <f>2585.49+18893.62</f>
        <v>21479.11</v>
      </c>
      <c r="BP23" s="46">
        <v>801.92</v>
      </c>
      <c r="BQ23" s="50">
        <v>1</v>
      </c>
      <c r="BR23" s="52">
        <f>2277.74</f>
        <v>2277.7399999999998</v>
      </c>
      <c r="BS23" s="46">
        <f>4</f>
        <v>4</v>
      </c>
      <c r="BT23" s="50">
        <v>1</v>
      </c>
      <c r="BU23" s="52">
        <f>2769.68</f>
        <v>2769.68</v>
      </c>
    </row>
    <row r="24" spans="1:73" x14ac:dyDescent="0.25">
      <c r="A24" s="46"/>
      <c r="B24" s="47" t="s">
        <v>41</v>
      </c>
      <c r="C24" s="48" t="s">
        <v>29</v>
      </c>
      <c r="D24" s="50">
        <v>133</v>
      </c>
      <c r="E24" s="50">
        <v>21</v>
      </c>
      <c r="F24" s="51">
        <v>113900.20994985382</v>
      </c>
      <c r="G24" s="46">
        <v>123</v>
      </c>
      <c r="H24" s="50">
        <v>15</v>
      </c>
      <c r="I24" s="50">
        <v>215592.87999999998</v>
      </c>
      <c r="J24" s="126"/>
      <c r="K24" s="46">
        <v>2</v>
      </c>
      <c r="L24" s="50">
        <v>1</v>
      </c>
      <c r="M24" s="52">
        <f>5923.49</f>
        <v>5923.49</v>
      </c>
      <c r="N24" s="46">
        <f>12+4</f>
        <v>16</v>
      </c>
      <c r="O24" s="50">
        <v>1</v>
      </c>
      <c r="P24" s="52">
        <f>19931.41+3594.08</f>
        <v>23525.489999999998</v>
      </c>
      <c r="Q24" s="46"/>
      <c r="R24" s="50"/>
      <c r="S24" s="52"/>
      <c r="T24" s="46">
        <v>2</v>
      </c>
      <c r="U24" s="50">
        <v>1</v>
      </c>
      <c r="V24" s="52">
        <f>2751.71</f>
        <v>2751.71</v>
      </c>
      <c r="W24" s="46">
        <f>6+12</f>
        <v>18</v>
      </c>
      <c r="X24" s="50">
        <v>1</v>
      </c>
      <c r="Y24" s="52">
        <f>16043.57+15836.41</f>
        <v>31879.98</v>
      </c>
      <c r="Z24" s="46">
        <v>3</v>
      </c>
      <c r="AA24" s="50">
        <v>1</v>
      </c>
      <c r="AB24" s="52">
        <f>2369.84</f>
        <v>2369.84</v>
      </c>
      <c r="AC24" s="46">
        <f>6</f>
        <v>6</v>
      </c>
      <c r="AD24" s="50">
        <v>1</v>
      </c>
      <c r="AE24" s="52">
        <f>16268.21</f>
        <v>16268.21</v>
      </c>
      <c r="AF24" s="46">
        <f>12</f>
        <v>12</v>
      </c>
      <c r="AG24" s="50">
        <v>1</v>
      </c>
      <c r="AH24" s="52">
        <f>19055.36</f>
        <v>19055.36</v>
      </c>
      <c r="AI24" s="46">
        <v>16</v>
      </c>
      <c r="AJ24" s="50">
        <v>1</v>
      </c>
      <c r="AK24" s="52">
        <v>21549.42</v>
      </c>
      <c r="AL24" s="46"/>
      <c r="AM24" s="50"/>
      <c r="AN24" s="52"/>
      <c r="AO24" s="46">
        <v>3</v>
      </c>
      <c r="AP24" s="50">
        <v>1</v>
      </c>
      <c r="AQ24" s="52">
        <f>2866.27</f>
        <v>2866.27</v>
      </c>
      <c r="AR24" s="46">
        <f>6</f>
        <v>6</v>
      </c>
      <c r="AS24" s="50">
        <v>1</v>
      </c>
      <c r="AT24" s="52">
        <f>16268.21</f>
        <v>16268.21</v>
      </c>
      <c r="AU24" s="46">
        <v>16</v>
      </c>
      <c r="AV24" s="50">
        <v>1</v>
      </c>
      <c r="AW24" s="52">
        <f>21549.42+3308.79</f>
        <v>24858.21</v>
      </c>
      <c r="AX24" s="46"/>
      <c r="AY24" s="50"/>
      <c r="AZ24" s="52"/>
      <c r="BA24" s="46"/>
      <c r="BB24" s="50"/>
      <c r="BC24" s="52"/>
      <c r="BD24" s="46"/>
      <c r="BE24" s="50"/>
      <c r="BF24" s="52"/>
      <c r="BG24" s="46">
        <f>6</f>
        <v>6</v>
      </c>
      <c r="BH24" s="50">
        <v>1</v>
      </c>
      <c r="BI24" s="52">
        <f>16268.21+2369.84</f>
        <v>18638.05</v>
      </c>
      <c r="BJ24" s="46">
        <f>6+3</f>
        <v>9</v>
      </c>
      <c r="BK24" s="50">
        <v>1</v>
      </c>
      <c r="BL24" s="52">
        <f>16268.21+2369.84</f>
        <v>18638.05</v>
      </c>
      <c r="BM24" s="46">
        <f>3+3</f>
        <v>6</v>
      </c>
      <c r="BN24" s="50">
        <v>1</v>
      </c>
      <c r="BO24" s="52">
        <f>3825.92+2866.27</f>
        <v>6692.1900000000005</v>
      </c>
      <c r="BP24" s="46">
        <v>2</v>
      </c>
      <c r="BQ24" s="50">
        <v>1</v>
      </c>
      <c r="BR24" s="52">
        <f>4308.4</f>
        <v>4308.3999999999996</v>
      </c>
      <c r="BS24" s="46"/>
      <c r="BT24" s="50"/>
      <c r="BU24" s="52"/>
    </row>
    <row r="25" spans="1:73" x14ac:dyDescent="0.25">
      <c r="A25" s="46">
        <v>14</v>
      </c>
      <c r="B25" s="47" t="s">
        <v>42</v>
      </c>
      <c r="C25" s="48" t="s">
        <v>29</v>
      </c>
      <c r="D25" s="50">
        <v>1359</v>
      </c>
      <c r="E25" s="50">
        <v>21</v>
      </c>
      <c r="F25" s="51">
        <v>115208.50565268214</v>
      </c>
      <c r="G25" s="46">
        <v>350</v>
      </c>
      <c r="H25" s="50">
        <v>10</v>
      </c>
      <c r="I25" s="50">
        <v>94492.400000000009</v>
      </c>
      <c r="J25" s="126"/>
      <c r="K25" s="46"/>
      <c r="L25" s="50"/>
      <c r="M25" s="52"/>
      <c r="N25" s="46">
        <f>30</f>
        <v>30</v>
      </c>
      <c r="O25" s="50">
        <v>1</v>
      </c>
      <c r="P25" s="52">
        <f>5517.08</f>
        <v>5517.08</v>
      </c>
      <c r="Q25" s="46"/>
      <c r="R25" s="50"/>
      <c r="S25" s="52"/>
      <c r="T25" s="46">
        <v>40</v>
      </c>
      <c r="U25" s="50">
        <v>1</v>
      </c>
      <c r="V25" s="52">
        <f>5622.66+673.89</f>
        <v>6296.55</v>
      </c>
      <c r="W25" s="46">
        <f>30</f>
        <v>30</v>
      </c>
      <c r="X25" s="50">
        <v>1</v>
      </c>
      <c r="Y25" s="52">
        <f>5243.02+6074.88+12875.79</f>
        <v>24193.690000000002</v>
      </c>
      <c r="Z25" s="46"/>
      <c r="AA25" s="50"/>
      <c r="AB25" s="52"/>
      <c r="AC25" s="46"/>
      <c r="AD25" s="50"/>
      <c r="AE25" s="52"/>
      <c r="AF25" s="46">
        <v>60</v>
      </c>
      <c r="AG25" s="50">
        <v>1</v>
      </c>
      <c r="AH25" s="52">
        <f>5579.98+1900.36</f>
        <v>7480.3399999999992</v>
      </c>
      <c r="AI25" s="46"/>
      <c r="AJ25" s="50">
        <v>1</v>
      </c>
      <c r="AK25" s="52">
        <f>1900.36</f>
        <v>1900.36</v>
      </c>
      <c r="AL25" s="46">
        <f>30</f>
        <v>30</v>
      </c>
      <c r="AM25" s="50">
        <v>1</v>
      </c>
      <c r="AN25" s="52">
        <f>5517.08+1900.36</f>
        <v>7417.44</v>
      </c>
      <c r="AO25" s="46">
        <v>60</v>
      </c>
      <c r="AP25" s="50">
        <v>1</v>
      </c>
      <c r="AQ25" s="52">
        <f>5579.98+1916.09</f>
        <v>7496.07</v>
      </c>
      <c r="AR25" s="46"/>
      <c r="AS25" s="50"/>
      <c r="AT25" s="52"/>
      <c r="AU25" s="46">
        <v>40</v>
      </c>
      <c r="AV25" s="50">
        <v>1</v>
      </c>
      <c r="AW25" s="52">
        <f>5813.6+8688.68</f>
        <v>14502.28</v>
      </c>
      <c r="AX25" s="46"/>
      <c r="AY25" s="50"/>
      <c r="AZ25" s="52"/>
      <c r="BA25" s="46"/>
      <c r="BB25" s="50"/>
      <c r="BC25" s="52"/>
      <c r="BD25" s="46"/>
      <c r="BE25" s="50"/>
      <c r="BF25" s="52"/>
      <c r="BG25" s="46"/>
      <c r="BH25" s="50"/>
      <c r="BI25" s="52"/>
      <c r="BJ25" s="46">
        <f>20+10</f>
        <v>30</v>
      </c>
      <c r="BK25" s="50">
        <v>1</v>
      </c>
      <c r="BL25" s="52">
        <f>11577.43+2594.08</f>
        <v>14171.51</v>
      </c>
      <c r="BM25" s="46">
        <f>30</f>
        <v>30</v>
      </c>
      <c r="BN25" s="50">
        <v>1</v>
      </c>
      <c r="BO25" s="52">
        <f>5517.08</f>
        <v>5517.08</v>
      </c>
      <c r="BP25" s="46"/>
      <c r="BQ25" s="50"/>
      <c r="BR25" s="52"/>
      <c r="BS25" s="46"/>
      <c r="BT25" s="50"/>
      <c r="BU25" s="52"/>
    </row>
    <row r="26" spans="1:73" x14ac:dyDescent="0.25">
      <c r="A26" s="46">
        <v>15</v>
      </c>
      <c r="B26" s="47" t="s">
        <v>43</v>
      </c>
      <c r="C26" s="48"/>
      <c r="D26" s="50"/>
      <c r="E26" s="50"/>
      <c r="F26" s="51">
        <v>0</v>
      </c>
      <c r="G26" s="46">
        <v>0</v>
      </c>
      <c r="H26" s="50">
        <v>0</v>
      </c>
      <c r="I26" s="50">
        <v>0</v>
      </c>
      <c r="J26" s="126"/>
      <c r="K26" s="46"/>
      <c r="L26" s="50"/>
      <c r="M26" s="52"/>
      <c r="N26" s="46"/>
      <c r="O26" s="50"/>
      <c r="P26" s="52"/>
      <c r="Q26" s="46"/>
      <c r="R26" s="50"/>
      <c r="S26" s="52"/>
      <c r="T26" s="46"/>
      <c r="U26" s="50"/>
      <c r="V26" s="52"/>
      <c r="W26" s="46"/>
      <c r="X26" s="50"/>
      <c r="Y26" s="52"/>
      <c r="Z26" s="46"/>
      <c r="AA26" s="50"/>
      <c r="AB26" s="52"/>
      <c r="AC26" s="46"/>
      <c r="AD26" s="50"/>
      <c r="AE26" s="52"/>
      <c r="AF26" s="46"/>
      <c r="AG26" s="50"/>
      <c r="AH26" s="52"/>
      <c r="AI26" s="46"/>
      <c r="AJ26" s="50"/>
      <c r="AK26" s="52"/>
      <c r="AL26" s="46"/>
      <c r="AM26" s="50"/>
      <c r="AN26" s="52"/>
      <c r="AO26" s="46"/>
      <c r="AP26" s="50"/>
      <c r="AQ26" s="52"/>
      <c r="AR26" s="46"/>
      <c r="AS26" s="50"/>
      <c r="AT26" s="52"/>
      <c r="AU26" s="46"/>
      <c r="AV26" s="50"/>
      <c r="AW26" s="52"/>
      <c r="AX26" s="46"/>
      <c r="AY26" s="50"/>
      <c r="AZ26" s="52"/>
      <c r="BA26" s="46"/>
      <c r="BB26" s="50"/>
      <c r="BC26" s="52"/>
      <c r="BD26" s="46"/>
      <c r="BE26" s="50"/>
      <c r="BF26" s="52"/>
      <c r="BG26" s="46"/>
      <c r="BH26" s="50"/>
      <c r="BI26" s="52"/>
      <c r="BJ26" s="46"/>
      <c r="BK26" s="50"/>
      <c r="BL26" s="52"/>
      <c r="BM26" s="46"/>
      <c r="BN26" s="50"/>
      <c r="BO26" s="52"/>
      <c r="BP26" s="46"/>
      <c r="BQ26" s="50"/>
      <c r="BR26" s="52"/>
      <c r="BS26" s="46"/>
      <c r="BT26" s="50"/>
      <c r="BU26" s="52"/>
    </row>
    <row r="27" spans="1:73" x14ac:dyDescent="0.25">
      <c r="A27" s="46">
        <v>16</v>
      </c>
      <c r="B27" s="47" t="s">
        <v>44</v>
      </c>
      <c r="C27" s="48"/>
      <c r="D27" s="50"/>
      <c r="E27" s="50"/>
      <c r="F27" s="51">
        <v>0</v>
      </c>
      <c r="G27" s="46">
        <v>0</v>
      </c>
      <c r="H27" s="50">
        <v>0</v>
      </c>
      <c r="I27" s="50">
        <v>0</v>
      </c>
      <c r="J27" s="126"/>
      <c r="K27" s="46"/>
      <c r="L27" s="50"/>
      <c r="M27" s="52"/>
      <c r="N27" s="46"/>
      <c r="O27" s="50"/>
      <c r="P27" s="52"/>
      <c r="Q27" s="46"/>
      <c r="R27" s="50"/>
      <c r="S27" s="52"/>
      <c r="T27" s="46"/>
      <c r="U27" s="50"/>
      <c r="V27" s="52"/>
      <c r="W27" s="46"/>
      <c r="X27" s="50"/>
      <c r="Y27" s="52"/>
      <c r="Z27" s="46"/>
      <c r="AA27" s="50"/>
      <c r="AB27" s="52"/>
      <c r="AC27" s="46"/>
      <c r="AD27" s="50"/>
      <c r="AE27" s="52"/>
      <c r="AF27" s="46"/>
      <c r="AG27" s="50"/>
      <c r="AH27" s="52"/>
      <c r="AI27" s="46"/>
      <c r="AJ27" s="50"/>
      <c r="AK27" s="52"/>
      <c r="AL27" s="46"/>
      <c r="AM27" s="50"/>
      <c r="AN27" s="52"/>
      <c r="AO27" s="46"/>
      <c r="AP27" s="50"/>
      <c r="AQ27" s="52"/>
      <c r="AR27" s="46"/>
      <c r="AS27" s="50"/>
      <c r="AT27" s="52"/>
      <c r="AU27" s="46"/>
      <c r="AV27" s="50"/>
      <c r="AW27" s="52"/>
      <c r="AX27" s="46"/>
      <c r="AY27" s="50"/>
      <c r="AZ27" s="52"/>
      <c r="BA27" s="46"/>
      <c r="BB27" s="50"/>
      <c r="BC27" s="52"/>
      <c r="BD27" s="46"/>
      <c r="BE27" s="50"/>
      <c r="BF27" s="52"/>
      <c r="BG27" s="46"/>
      <c r="BH27" s="50"/>
      <c r="BI27" s="52"/>
      <c r="BJ27" s="46"/>
      <c r="BK27" s="50"/>
      <c r="BL27" s="52"/>
      <c r="BM27" s="46"/>
      <c r="BN27" s="50"/>
      <c r="BO27" s="52"/>
      <c r="BP27" s="46"/>
      <c r="BQ27" s="50"/>
      <c r="BR27" s="52"/>
      <c r="BS27" s="46"/>
      <c r="BT27" s="50"/>
      <c r="BU27" s="52"/>
    </row>
    <row r="28" spans="1:73" ht="15.75" thickBot="1" x14ac:dyDescent="0.3">
      <c r="A28" s="68">
        <v>17</v>
      </c>
      <c r="B28" s="69" t="s">
        <v>45</v>
      </c>
      <c r="C28" s="70"/>
      <c r="D28" s="71"/>
      <c r="E28" s="71"/>
      <c r="F28" s="72">
        <v>0</v>
      </c>
      <c r="G28" s="68">
        <v>0</v>
      </c>
      <c r="H28" s="71">
        <v>3</v>
      </c>
      <c r="I28" s="71">
        <v>11541.48</v>
      </c>
      <c r="J28" s="129"/>
      <c r="K28" s="77"/>
      <c r="L28" s="75"/>
      <c r="M28" s="76"/>
      <c r="N28" s="77"/>
      <c r="O28" s="75"/>
      <c r="P28" s="76"/>
      <c r="Q28" s="77"/>
      <c r="R28" s="75"/>
      <c r="S28" s="76"/>
      <c r="T28" s="77"/>
      <c r="U28" s="75"/>
      <c r="V28" s="76"/>
      <c r="W28" s="77"/>
      <c r="X28" s="75"/>
      <c r="Y28" s="76"/>
      <c r="Z28" s="77"/>
      <c r="AA28" s="75"/>
      <c r="AB28" s="76"/>
      <c r="AC28" s="77"/>
      <c r="AD28" s="75"/>
      <c r="AE28" s="76"/>
      <c r="AF28" s="77"/>
      <c r="AG28" s="75"/>
      <c r="AH28" s="76"/>
      <c r="AI28" s="77"/>
      <c r="AJ28" s="75"/>
      <c r="AK28" s="76"/>
      <c r="AL28" s="77"/>
      <c r="AM28" s="75"/>
      <c r="AN28" s="76"/>
      <c r="AO28" s="77"/>
      <c r="AP28" s="75">
        <v>1</v>
      </c>
      <c r="AQ28" s="76">
        <f>1954.28</f>
        <v>1954.28</v>
      </c>
      <c r="AR28" s="77"/>
      <c r="AS28" s="75"/>
      <c r="AT28" s="76"/>
      <c r="AU28" s="68"/>
      <c r="AV28" s="71">
        <v>1</v>
      </c>
      <c r="AW28" s="73">
        <f>4020.87</f>
        <v>4020.87</v>
      </c>
      <c r="AX28" s="68"/>
      <c r="AY28" s="71">
        <v>1</v>
      </c>
      <c r="AZ28" s="73">
        <f>5566.33</f>
        <v>5566.33</v>
      </c>
      <c r="BA28" s="68"/>
      <c r="BB28" s="71"/>
      <c r="BC28" s="73"/>
      <c r="BD28" s="68"/>
      <c r="BE28" s="71"/>
      <c r="BF28" s="73"/>
      <c r="BG28" s="68"/>
      <c r="BH28" s="71"/>
      <c r="BI28" s="73"/>
      <c r="BJ28" s="68"/>
      <c r="BK28" s="71"/>
      <c r="BL28" s="73"/>
      <c r="BM28" s="68"/>
      <c r="BN28" s="71"/>
      <c r="BO28" s="73"/>
      <c r="BP28" s="68"/>
      <c r="BQ28" s="71"/>
      <c r="BR28" s="73"/>
      <c r="BS28" s="68"/>
      <c r="BT28" s="71"/>
      <c r="BU28" s="73"/>
    </row>
    <row r="29" spans="1:73" ht="15.75" thickBot="1" x14ac:dyDescent="0.3">
      <c r="A29" s="68"/>
      <c r="B29" s="69" t="s">
        <v>46</v>
      </c>
      <c r="C29" s="70"/>
      <c r="D29" s="71"/>
      <c r="E29" s="71"/>
      <c r="F29" s="78">
        <v>877110.83128915168</v>
      </c>
      <c r="G29" s="79"/>
      <c r="H29" s="80"/>
      <c r="I29" s="80"/>
      <c r="J29" s="209">
        <v>710697</v>
      </c>
      <c r="K29" s="82"/>
      <c r="L29" s="83"/>
      <c r="M29" s="84"/>
      <c r="N29" s="85"/>
      <c r="O29" s="86"/>
      <c r="P29" s="87">
        <f>36784+30799+38004+50672+30799</f>
        <v>187058</v>
      </c>
      <c r="Q29" s="88"/>
      <c r="R29" s="83"/>
      <c r="S29" s="84">
        <f>38350+12784</f>
        <v>51134</v>
      </c>
      <c r="T29" s="79"/>
      <c r="U29" s="80"/>
      <c r="V29" s="81">
        <f>51134</f>
        <v>51134</v>
      </c>
      <c r="W29" s="89"/>
      <c r="X29" s="80"/>
      <c r="Y29" s="81">
        <f>92397+53206</f>
        <v>145603</v>
      </c>
      <c r="Z29" s="88"/>
      <c r="AA29" s="83"/>
      <c r="AB29" s="84">
        <f>5254+3891</f>
        <v>9145</v>
      </c>
      <c r="AC29" s="85"/>
      <c r="AD29" s="86"/>
      <c r="AE29" s="87">
        <f>51134</f>
        <v>51134</v>
      </c>
      <c r="AF29" s="88"/>
      <c r="AG29" s="83"/>
      <c r="AH29" s="84">
        <f>18971+14189</f>
        <v>33160</v>
      </c>
      <c r="AI29" s="85"/>
      <c r="AJ29" s="86"/>
      <c r="AK29" s="87"/>
      <c r="AL29" s="88"/>
      <c r="AM29" s="83"/>
      <c r="AN29" s="84">
        <f>8520+6360</f>
        <v>14880</v>
      </c>
      <c r="AO29" s="85"/>
      <c r="AP29" s="86"/>
      <c r="AQ29" s="87">
        <f>8520+6360</f>
        <v>14880</v>
      </c>
      <c r="AR29" s="90"/>
      <c r="AS29" s="86"/>
      <c r="AT29" s="87">
        <f>10806+8083</f>
        <v>18889</v>
      </c>
      <c r="AU29" s="79"/>
      <c r="AV29" s="80"/>
      <c r="AW29" s="81"/>
      <c r="AX29" s="79"/>
      <c r="AY29" s="80"/>
      <c r="AZ29" s="81"/>
      <c r="BA29" s="79"/>
      <c r="BB29" s="80"/>
      <c r="BC29" s="81">
        <f>1000+4000</f>
        <v>5000</v>
      </c>
      <c r="BD29" s="79"/>
      <c r="BE29" s="80"/>
      <c r="BF29" s="81"/>
      <c r="BG29" s="79"/>
      <c r="BH29" s="80"/>
      <c r="BI29" s="81">
        <f>2000</f>
        <v>2000</v>
      </c>
      <c r="BJ29" s="79"/>
      <c r="BK29" s="80"/>
      <c r="BL29" s="81">
        <f>50672+25336+50672</f>
        <v>126680</v>
      </c>
      <c r="BM29" s="79"/>
      <c r="BN29" s="80"/>
      <c r="BO29" s="81"/>
      <c r="BP29" s="79"/>
      <c r="BQ29" s="80"/>
      <c r="BR29" s="81"/>
      <c r="BS29" s="79"/>
      <c r="BT29" s="80"/>
      <c r="BU29" s="81"/>
    </row>
    <row r="30" spans="1:73" ht="15.75" thickBot="1" x14ac:dyDescent="0.3">
      <c r="A30" s="79"/>
      <c r="B30" s="92" t="s">
        <v>47</v>
      </c>
      <c r="C30" s="93"/>
      <c r="D30" s="93"/>
      <c r="E30" s="94"/>
      <c r="F30" s="95">
        <f>SUM(F11:F28)+F29</f>
        <v>2918909.9277999997</v>
      </c>
      <c r="G30" s="96">
        <f>SUM(G12:G29)</f>
        <v>5185.92</v>
      </c>
      <c r="H30" s="97"/>
      <c r="I30" s="98">
        <f>SUM(I11:I28)+J29</f>
        <v>3342568.42</v>
      </c>
      <c r="J30" s="97">
        <v>0</v>
      </c>
      <c r="K30" s="99"/>
      <c r="L30" s="100"/>
      <c r="M30" s="101">
        <f>SUM(M11:M28)</f>
        <v>58425.29</v>
      </c>
      <c r="N30" s="27"/>
      <c r="O30" s="100"/>
      <c r="P30" s="101">
        <f>SUM(P11:P28)+P29</f>
        <v>595471.47</v>
      </c>
      <c r="Q30" s="27"/>
      <c r="R30" s="100"/>
      <c r="S30" s="101">
        <f>SUM(S11:S28)+S29</f>
        <v>209269.58</v>
      </c>
      <c r="T30" s="102"/>
      <c r="U30" s="103"/>
      <c r="V30" s="104">
        <f>SUM(V11:V28)+V29</f>
        <v>150468.78000000003</v>
      </c>
      <c r="W30" s="105"/>
      <c r="X30" s="103"/>
      <c r="Y30" s="104">
        <f>SUM(Y11:Y28)+Y29</f>
        <v>377849.62</v>
      </c>
      <c r="Z30" s="27"/>
      <c r="AA30" s="100"/>
      <c r="AB30" s="101">
        <f>SUM(AB11:AB28)+AB29</f>
        <v>107863.41</v>
      </c>
      <c r="AC30" s="27"/>
      <c r="AD30" s="100"/>
      <c r="AE30" s="101">
        <f>SUM(AE11:AE28)+AE29</f>
        <v>206177.8</v>
      </c>
      <c r="AF30" s="27"/>
      <c r="AG30" s="100"/>
      <c r="AH30" s="101">
        <f>SUM(AH11:AH28)+AH29</f>
        <v>228534.68999999997</v>
      </c>
      <c r="AI30" s="27"/>
      <c r="AJ30" s="100"/>
      <c r="AK30" s="101">
        <f>SUM(AK11:AK28)</f>
        <v>43084.67</v>
      </c>
      <c r="AL30" s="27"/>
      <c r="AM30" s="100"/>
      <c r="AN30" s="101">
        <f>SUM(AN11:AN28)+AN29</f>
        <v>126142.82</v>
      </c>
      <c r="AO30" s="27"/>
      <c r="AP30" s="100"/>
      <c r="AQ30" s="106">
        <f>SUM(AQ11:AQ28)+AQ29</f>
        <v>164753.98000000001</v>
      </c>
      <c r="AR30" s="27"/>
      <c r="AS30" s="100"/>
      <c r="AT30" s="101">
        <f>SUM(AT11:AT28)+AT29</f>
        <v>121451.85999999999</v>
      </c>
      <c r="AU30" s="27"/>
      <c r="AV30" s="100"/>
      <c r="AW30" s="101">
        <f>SUM(AW11:AW28)</f>
        <v>141131.53</v>
      </c>
      <c r="AX30" s="27"/>
      <c r="AY30" s="100"/>
      <c r="AZ30" s="101">
        <f>SUM(AZ11:AZ28)</f>
        <v>16995.22</v>
      </c>
      <c r="BA30" s="27"/>
      <c r="BB30" s="100"/>
      <c r="BC30" s="101">
        <f>SUM(BC11:BC28)+BC29</f>
        <v>70773.25</v>
      </c>
      <c r="BD30" s="27"/>
      <c r="BE30" s="100"/>
      <c r="BF30" s="101">
        <f>SUM(BF11:BF28)</f>
        <v>22165.98</v>
      </c>
      <c r="BG30" s="27"/>
      <c r="BH30" s="100"/>
      <c r="BI30" s="101">
        <f>SUM(BI11:BI28)+BI29</f>
        <v>111216.41</v>
      </c>
      <c r="BJ30" s="27"/>
      <c r="BK30" s="100"/>
      <c r="BL30" s="101">
        <f>SUM(BL11:BL28)+BL29</f>
        <v>477012.75999999995</v>
      </c>
      <c r="BM30" s="27"/>
      <c r="BN30" s="100"/>
      <c r="BO30" s="101">
        <f>SUM(BO11:BO28)</f>
        <v>75618.38</v>
      </c>
      <c r="BP30" s="27"/>
      <c r="BQ30" s="100"/>
      <c r="BR30" s="101">
        <f>SUM(BR11:BR29)</f>
        <v>27064.22</v>
      </c>
      <c r="BS30" s="27"/>
      <c r="BT30" s="100"/>
      <c r="BU30" s="101">
        <f>SUM(BU11:BU28)</f>
        <v>11096.7</v>
      </c>
    </row>
    <row r="31" spans="1:73" x14ac:dyDescent="0.25">
      <c r="A31" s="3"/>
      <c r="B31" s="3"/>
      <c r="C31" s="3"/>
      <c r="D31" s="3"/>
      <c r="E31" s="3"/>
      <c r="F31" s="107"/>
      <c r="G31" s="3"/>
    </row>
    <row r="32" spans="1:73" x14ac:dyDescent="0.25">
      <c r="A32" s="3"/>
      <c r="B32" s="3"/>
      <c r="C32" s="3"/>
      <c r="D32" s="3"/>
      <c r="E32" s="3"/>
      <c r="F32" s="3"/>
      <c r="G32" s="3"/>
    </row>
    <row r="33" spans="1:13" x14ac:dyDescent="0.25">
      <c r="A33" s="3"/>
      <c r="B33" s="3"/>
      <c r="C33" s="3"/>
      <c r="D33" s="3"/>
      <c r="E33" s="3"/>
      <c r="F33" s="3"/>
      <c r="G33" s="3"/>
    </row>
    <row r="34" spans="1:13" ht="15.75" x14ac:dyDescent="0.25">
      <c r="A34" s="3"/>
      <c r="B34" s="108" t="s">
        <v>48</v>
      </c>
      <c r="I34" s="108" t="s">
        <v>49</v>
      </c>
      <c r="M34" s="108"/>
    </row>
  </sheetData>
  <mergeCells count="26">
    <mergeCell ref="A7:A9"/>
    <mergeCell ref="B7:B9"/>
    <mergeCell ref="C7:C9"/>
    <mergeCell ref="D7:F7"/>
    <mergeCell ref="G7:I7"/>
    <mergeCell ref="D8:D9"/>
    <mergeCell ref="J8:J9"/>
    <mergeCell ref="B2:J2"/>
    <mergeCell ref="B3:J3"/>
    <mergeCell ref="B4:J4"/>
    <mergeCell ref="B5:J5"/>
    <mergeCell ref="E8:E9"/>
    <mergeCell ref="F8:F9"/>
    <mergeCell ref="G8:G9"/>
    <mergeCell ref="H8:H9"/>
    <mergeCell ref="I8:I9"/>
    <mergeCell ref="K8:M8"/>
    <mergeCell ref="K9:K10"/>
    <mergeCell ref="L9:L10"/>
    <mergeCell ref="M9:M10"/>
    <mergeCell ref="N9:N10"/>
    <mergeCell ref="O9:O10"/>
    <mergeCell ref="P9:P10"/>
    <mergeCell ref="Q9:Q10"/>
    <mergeCell ref="R9:R10"/>
    <mergeCell ref="S9:S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"/>
  <sheetViews>
    <sheetView topLeftCell="A6" zoomScale="90" zoomScaleNormal="90" workbookViewId="0">
      <selection activeCell="S29" sqref="S29"/>
    </sheetView>
  </sheetViews>
  <sheetFormatPr defaultRowHeight="15" x14ac:dyDescent="0.25"/>
  <cols>
    <col min="1" max="1" width="4.85546875" customWidth="1"/>
    <col min="2" max="2" width="23.140625" customWidth="1"/>
    <col min="6" max="6" width="17.7109375" customWidth="1"/>
    <col min="9" max="9" width="13.42578125" customWidth="1"/>
    <col min="10" max="10" width="14.42578125" customWidth="1"/>
  </cols>
  <sheetData>
    <row r="1" spans="1:58" x14ac:dyDescent="0.25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O1" s="1"/>
    </row>
    <row r="2" spans="1:58" x14ac:dyDescent="0.25">
      <c r="B2" s="241" t="s">
        <v>51</v>
      </c>
      <c r="C2" s="240"/>
      <c r="D2" s="240"/>
      <c r="E2" s="240"/>
      <c r="F2" s="240"/>
      <c r="G2" s="240"/>
      <c r="H2" s="240"/>
      <c r="I2" s="240"/>
      <c r="J2" s="240"/>
      <c r="M2" s="2"/>
    </row>
    <row r="3" spans="1:58" x14ac:dyDescent="0.25">
      <c r="B3" s="242"/>
      <c r="C3" s="240"/>
      <c r="D3" s="240"/>
      <c r="E3" s="240"/>
      <c r="F3" s="240"/>
      <c r="G3" s="240"/>
      <c r="H3" s="240"/>
      <c r="I3" s="240"/>
      <c r="J3" s="240"/>
      <c r="M3" s="4"/>
    </row>
    <row r="4" spans="1:58" x14ac:dyDescent="0.25">
      <c r="B4" s="243" t="s">
        <v>2</v>
      </c>
      <c r="C4" s="240"/>
      <c r="D4" s="240"/>
      <c r="E4" s="240"/>
      <c r="F4" s="240"/>
      <c r="G4" s="240"/>
      <c r="H4" s="240"/>
      <c r="I4" s="240"/>
      <c r="J4" s="240"/>
      <c r="M4" s="1"/>
    </row>
    <row r="5" spans="1:58" ht="15.75" thickBot="1" x14ac:dyDescent="0.3">
      <c r="B5" s="2"/>
      <c r="C5" s="3"/>
      <c r="D5" s="3"/>
      <c r="E5" s="3"/>
      <c r="F5" s="3"/>
      <c r="G5" s="3"/>
      <c r="H5" s="3"/>
      <c r="I5" s="3"/>
      <c r="J5" s="3"/>
    </row>
    <row r="6" spans="1:58" ht="15.75" thickBot="1" x14ac:dyDescent="0.3">
      <c r="A6" s="244" t="s">
        <v>3</v>
      </c>
      <c r="B6" s="246" t="s">
        <v>4</v>
      </c>
      <c r="C6" s="249" t="s">
        <v>5</v>
      </c>
      <c r="D6" s="252" t="s">
        <v>6</v>
      </c>
      <c r="E6" s="253"/>
      <c r="F6" s="254"/>
      <c r="G6" s="255" t="s">
        <v>7</v>
      </c>
      <c r="H6" s="252"/>
      <c r="I6" s="252"/>
      <c r="J6" s="252"/>
      <c r="K6" s="12" t="s">
        <v>8</v>
      </c>
      <c r="L6" s="12"/>
      <c r="M6" s="12">
        <v>7</v>
      </c>
      <c r="N6" s="109" t="s">
        <v>9</v>
      </c>
      <c r="O6" s="12"/>
      <c r="P6" s="110">
        <v>9</v>
      </c>
      <c r="Q6" s="12" t="s">
        <v>10</v>
      </c>
      <c r="R6" s="12"/>
      <c r="S6" s="12" t="s">
        <v>52</v>
      </c>
      <c r="T6" s="109" t="s">
        <v>9</v>
      </c>
      <c r="U6" s="12"/>
      <c r="V6" s="110">
        <v>11</v>
      </c>
      <c r="W6" s="12" t="s">
        <v>9</v>
      </c>
      <c r="X6" s="12"/>
      <c r="Y6" s="12" t="s">
        <v>53</v>
      </c>
      <c r="Z6" s="109" t="s">
        <v>11</v>
      </c>
      <c r="AA6" s="12"/>
      <c r="AB6" s="111">
        <v>13</v>
      </c>
      <c r="AC6" s="12" t="s">
        <v>11</v>
      </c>
      <c r="AD6" s="112"/>
      <c r="AE6" s="12">
        <v>27</v>
      </c>
      <c r="AF6" s="109" t="s">
        <v>11</v>
      </c>
      <c r="AG6" s="113"/>
      <c r="AH6" s="110">
        <v>29</v>
      </c>
      <c r="AI6" s="114" t="s">
        <v>11</v>
      </c>
      <c r="AJ6" s="114"/>
      <c r="AK6" s="114">
        <v>35</v>
      </c>
      <c r="AL6" s="115" t="s">
        <v>11</v>
      </c>
      <c r="AM6" s="114"/>
      <c r="AN6" s="116">
        <v>37</v>
      </c>
      <c r="AO6" s="114" t="s">
        <v>11</v>
      </c>
      <c r="AP6" s="114"/>
      <c r="AQ6" s="114" t="s">
        <v>54</v>
      </c>
      <c r="AR6" s="115" t="s">
        <v>11</v>
      </c>
      <c r="AS6" s="114"/>
      <c r="AT6" s="116">
        <v>39</v>
      </c>
      <c r="AU6" s="115" t="s">
        <v>11</v>
      </c>
      <c r="AV6" s="114"/>
      <c r="AW6" s="116">
        <v>43</v>
      </c>
      <c r="AX6" s="114" t="s">
        <v>11</v>
      </c>
      <c r="AY6" s="114"/>
      <c r="AZ6" s="114" t="s">
        <v>55</v>
      </c>
      <c r="BA6" s="115" t="s">
        <v>11</v>
      </c>
      <c r="BB6" s="114"/>
      <c r="BC6" s="116" t="s">
        <v>56</v>
      </c>
      <c r="BD6" s="115" t="s">
        <v>13</v>
      </c>
      <c r="BE6" s="114"/>
      <c r="BF6" s="117" t="s">
        <v>57</v>
      </c>
    </row>
    <row r="7" spans="1:58" ht="15.75" thickBot="1" x14ac:dyDescent="0.3">
      <c r="A7" s="226"/>
      <c r="B7" s="247"/>
      <c r="C7" s="250"/>
      <c r="D7" s="256" t="s">
        <v>14</v>
      </c>
      <c r="E7" s="227" t="s">
        <v>15</v>
      </c>
      <c r="F7" s="229" t="s">
        <v>50</v>
      </c>
      <c r="G7" s="231" t="s">
        <v>16</v>
      </c>
      <c r="H7" s="233" t="s">
        <v>17</v>
      </c>
      <c r="I7" s="235" t="s">
        <v>124</v>
      </c>
      <c r="J7" s="237" t="s">
        <v>18</v>
      </c>
      <c r="K7" s="264" t="s">
        <v>19</v>
      </c>
      <c r="L7" s="265"/>
      <c r="M7" s="266"/>
      <c r="N7" s="118" t="s">
        <v>19</v>
      </c>
      <c r="O7" s="119"/>
      <c r="P7" s="120"/>
      <c r="Q7" s="118" t="s">
        <v>19</v>
      </c>
      <c r="R7" s="119"/>
      <c r="S7" s="120"/>
      <c r="T7" s="118" t="s">
        <v>19</v>
      </c>
      <c r="U7" s="119"/>
      <c r="V7" s="120"/>
      <c r="W7" s="118" t="s">
        <v>19</v>
      </c>
      <c r="X7" s="119"/>
      <c r="Y7" s="120"/>
      <c r="Z7" s="118" t="s">
        <v>19</v>
      </c>
      <c r="AA7" s="119"/>
      <c r="AB7" s="120"/>
      <c r="AC7" s="118" t="s">
        <v>19</v>
      </c>
      <c r="AD7" s="119"/>
      <c r="AE7" s="120"/>
      <c r="AF7" s="118" t="s">
        <v>19</v>
      </c>
      <c r="AG7" s="119"/>
      <c r="AH7" s="120"/>
      <c r="AI7" s="16" t="s">
        <v>19</v>
      </c>
      <c r="AJ7" s="17"/>
      <c r="AK7" s="18"/>
      <c r="AL7" s="13" t="s">
        <v>19</v>
      </c>
      <c r="AM7" s="17"/>
      <c r="AN7" s="19"/>
      <c r="AO7" s="16" t="s">
        <v>19</v>
      </c>
      <c r="AP7" s="17"/>
      <c r="AQ7" s="18"/>
      <c r="AR7" s="13" t="s">
        <v>19</v>
      </c>
      <c r="AS7" s="17"/>
      <c r="AT7" s="19"/>
      <c r="AU7" s="13" t="s">
        <v>19</v>
      </c>
      <c r="AV7" s="17"/>
      <c r="AW7" s="19"/>
      <c r="AX7" s="16" t="s">
        <v>19</v>
      </c>
      <c r="AY7" s="17"/>
      <c r="AZ7" s="18"/>
      <c r="BA7" s="13" t="s">
        <v>19</v>
      </c>
      <c r="BB7" s="17"/>
      <c r="BC7" s="19"/>
      <c r="BD7" s="13" t="s">
        <v>19</v>
      </c>
      <c r="BE7" s="17"/>
      <c r="BF7" s="19"/>
    </row>
    <row r="8" spans="1:58" ht="15.75" thickBot="1" x14ac:dyDescent="0.3">
      <c r="A8" s="245"/>
      <c r="B8" s="248"/>
      <c r="C8" s="251"/>
      <c r="D8" s="257"/>
      <c r="E8" s="228"/>
      <c r="F8" s="230"/>
      <c r="G8" s="232"/>
      <c r="H8" s="234"/>
      <c r="I8" s="236"/>
      <c r="J8" s="238"/>
      <c r="K8" s="267" t="s">
        <v>16</v>
      </c>
      <c r="L8" s="268" t="s">
        <v>17</v>
      </c>
      <c r="M8" s="269" t="s">
        <v>20</v>
      </c>
      <c r="N8" s="270" t="s">
        <v>16</v>
      </c>
      <c r="O8" s="258" t="s">
        <v>17</v>
      </c>
      <c r="P8" s="260" t="s">
        <v>20</v>
      </c>
      <c r="Q8" s="262" t="s">
        <v>16</v>
      </c>
      <c r="R8" s="258" t="s">
        <v>17</v>
      </c>
      <c r="S8" s="260" t="s">
        <v>20</v>
      </c>
      <c r="T8" s="33" t="s">
        <v>16</v>
      </c>
      <c r="U8" s="34" t="s">
        <v>21</v>
      </c>
      <c r="V8" s="35"/>
      <c r="W8" s="36" t="s">
        <v>16</v>
      </c>
      <c r="X8" s="34" t="s">
        <v>21</v>
      </c>
      <c r="Y8" s="37"/>
      <c r="Z8" s="33" t="s">
        <v>16</v>
      </c>
      <c r="AA8" s="34" t="s">
        <v>21</v>
      </c>
      <c r="AB8" s="35"/>
      <c r="AC8" s="36" t="s">
        <v>16</v>
      </c>
      <c r="AD8" s="34" t="s">
        <v>21</v>
      </c>
      <c r="AE8" s="37" t="s">
        <v>22</v>
      </c>
      <c r="AF8" s="33" t="s">
        <v>16</v>
      </c>
      <c r="AG8" s="34" t="s">
        <v>21</v>
      </c>
      <c r="AH8" s="35"/>
      <c r="AI8" s="25" t="s">
        <v>16</v>
      </c>
      <c r="AJ8" s="23" t="s">
        <v>21</v>
      </c>
      <c r="AK8" s="26"/>
      <c r="AL8" s="22" t="s">
        <v>16</v>
      </c>
      <c r="AM8" s="23" t="s">
        <v>21</v>
      </c>
      <c r="AN8" s="24"/>
      <c r="AO8" s="25" t="s">
        <v>16</v>
      </c>
      <c r="AP8" s="23" t="s">
        <v>21</v>
      </c>
      <c r="AQ8" s="26"/>
      <c r="AR8" s="22" t="s">
        <v>16</v>
      </c>
      <c r="AS8" s="23" t="s">
        <v>21</v>
      </c>
      <c r="AT8" s="24" t="s">
        <v>22</v>
      </c>
      <c r="AU8" s="22" t="s">
        <v>16</v>
      </c>
      <c r="AV8" s="23" t="s">
        <v>21</v>
      </c>
      <c r="AW8" s="24" t="s">
        <v>22</v>
      </c>
      <c r="AX8" s="25" t="s">
        <v>16</v>
      </c>
      <c r="AY8" s="23" t="s">
        <v>21</v>
      </c>
      <c r="AZ8" s="26"/>
      <c r="BA8" s="22" t="s">
        <v>16</v>
      </c>
      <c r="BB8" s="23" t="s">
        <v>21</v>
      </c>
      <c r="BC8" s="24"/>
      <c r="BD8" s="22" t="s">
        <v>16</v>
      </c>
      <c r="BE8" s="23" t="s">
        <v>21</v>
      </c>
      <c r="BF8" s="24" t="s">
        <v>22</v>
      </c>
    </row>
    <row r="9" spans="1:58" ht="15.75" thickBot="1" x14ac:dyDescent="0.3">
      <c r="A9" s="27">
        <v>1</v>
      </c>
      <c r="B9" s="28">
        <v>2</v>
      </c>
      <c r="C9" s="28">
        <v>3</v>
      </c>
      <c r="D9" s="29">
        <v>4</v>
      </c>
      <c r="E9" s="28">
        <v>5</v>
      </c>
      <c r="F9" s="30">
        <v>6</v>
      </c>
      <c r="G9" s="31">
        <v>7</v>
      </c>
      <c r="H9" s="32">
        <v>8</v>
      </c>
      <c r="I9" s="32">
        <v>9</v>
      </c>
      <c r="J9" s="32">
        <v>10</v>
      </c>
      <c r="K9" s="220"/>
      <c r="L9" s="222"/>
      <c r="M9" s="224"/>
      <c r="N9" s="271"/>
      <c r="O9" s="259"/>
      <c r="P9" s="261"/>
      <c r="Q9" s="263"/>
      <c r="R9" s="259"/>
      <c r="S9" s="261"/>
      <c r="T9" s="33"/>
      <c r="U9" s="34" t="s">
        <v>23</v>
      </c>
      <c r="V9" s="35" t="s">
        <v>20</v>
      </c>
      <c r="W9" s="36"/>
      <c r="X9" s="34" t="s">
        <v>23</v>
      </c>
      <c r="Y9" s="37" t="s">
        <v>20</v>
      </c>
      <c r="Z9" s="33"/>
      <c r="AA9" s="34" t="s">
        <v>23</v>
      </c>
      <c r="AB9" s="35" t="s">
        <v>20</v>
      </c>
      <c r="AC9" s="36"/>
      <c r="AD9" s="34" t="s">
        <v>23</v>
      </c>
      <c r="AE9" s="37" t="s">
        <v>20</v>
      </c>
      <c r="AF9" s="122"/>
      <c r="AG9" s="123" t="s">
        <v>23</v>
      </c>
      <c r="AH9" s="124" t="s">
        <v>20</v>
      </c>
      <c r="AI9" s="36"/>
      <c r="AJ9" s="34" t="s">
        <v>23</v>
      </c>
      <c r="AK9" s="37" t="s">
        <v>20</v>
      </c>
      <c r="AL9" s="33"/>
      <c r="AM9" s="34" t="s">
        <v>23</v>
      </c>
      <c r="AN9" s="35" t="s">
        <v>20</v>
      </c>
      <c r="AO9" s="36"/>
      <c r="AP9" s="34" t="s">
        <v>23</v>
      </c>
      <c r="AQ9" s="37" t="s">
        <v>20</v>
      </c>
      <c r="AR9" s="33"/>
      <c r="AS9" s="34" t="s">
        <v>23</v>
      </c>
      <c r="AT9" s="35" t="s">
        <v>20</v>
      </c>
      <c r="AU9" s="33"/>
      <c r="AV9" s="34" t="s">
        <v>23</v>
      </c>
      <c r="AW9" s="35" t="s">
        <v>20</v>
      </c>
      <c r="AX9" s="36"/>
      <c r="AY9" s="34" t="s">
        <v>23</v>
      </c>
      <c r="AZ9" s="37" t="s">
        <v>20</v>
      </c>
      <c r="BA9" s="33"/>
      <c r="BB9" s="34" t="s">
        <v>23</v>
      </c>
      <c r="BC9" s="35" t="s">
        <v>20</v>
      </c>
      <c r="BD9" s="33"/>
      <c r="BE9" s="34" t="s">
        <v>23</v>
      </c>
      <c r="BF9" s="35" t="s">
        <v>20</v>
      </c>
    </row>
    <row r="10" spans="1:58" x14ac:dyDescent="0.25">
      <c r="A10" s="39">
        <v>1</v>
      </c>
      <c r="B10" s="40" t="s">
        <v>24</v>
      </c>
      <c r="C10" s="41"/>
      <c r="D10" s="41"/>
      <c r="E10" s="41"/>
      <c r="F10" s="42"/>
      <c r="G10" s="39"/>
      <c r="H10" s="41"/>
      <c r="I10" s="41"/>
      <c r="J10" s="42"/>
      <c r="K10" s="39"/>
      <c r="L10" s="41"/>
      <c r="M10" s="42"/>
      <c r="N10" s="62"/>
      <c r="O10" s="50"/>
      <c r="P10" s="52"/>
      <c r="Q10" s="49"/>
      <c r="R10" s="50"/>
      <c r="S10" s="126"/>
      <c r="T10" s="39"/>
      <c r="U10" s="41"/>
      <c r="V10" s="42"/>
      <c r="W10" s="39"/>
      <c r="X10" s="41"/>
      <c r="Y10" s="42"/>
      <c r="Z10" s="39"/>
      <c r="AA10" s="41"/>
      <c r="AB10" s="42"/>
      <c r="AC10" s="39"/>
      <c r="AD10" s="41"/>
      <c r="AE10" s="42"/>
      <c r="AF10" s="39"/>
      <c r="AG10" s="41"/>
      <c r="AH10" s="42"/>
      <c r="AI10" s="43"/>
      <c r="AJ10" s="41"/>
      <c r="AK10" s="42"/>
      <c r="AL10" s="39"/>
      <c r="AM10" s="41"/>
      <c r="AN10" s="42"/>
      <c r="AO10" s="39"/>
      <c r="AP10" s="41"/>
      <c r="AQ10" s="42"/>
      <c r="AR10" s="39"/>
      <c r="AS10" s="41"/>
      <c r="AT10" s="42"/>
      <c r="AU10" s="39"/>
      <c r="AV10" s="41"/>
      <c r="AW10" s="42"/>
      <c r="AX10" s="39"/>
      <c r="AY10" s="41"/>
      <c r="AZ10" s="42"/>
      <c r="BA10" s="39"/>
      <c r="BB10" s="41"/>
      <c r="BC10" s="42"/>
      <c r="BD10" s="39"/>
      <c r="BE10" s="41"/>
      <c r="BF10" s="42"/>
    </row>
    <row r="11" spans="1:58" x14ac:dyDescent="0.25">
      <c r="A11" s="46">
        <v>2</v>
      </c>
      <c r="B11" s="47" t="s">
        <v>25</v>
      </c>
      <c r="C11" s="48" t="s">
        <v>26</v>
      </c>
      <c r="D11" s="49">
        <v>200</v>
      </c>
      <c r="E11" s="50">
        <v>2</v>
      </c>
      <c r="F11" s="51">
        <v>142861.46254882493</v>
      </c>
      <c r="G11" s="46"/>
      <c r="H11" s="50"/>
      <c r="I11" s="50"/>
      <c r="J11" s="52"/>
      <c r="K11" s="46"/>
      <c r="L11" s="50"/>
      <c r="M11" s="52"/>
      <c r="N11" s="46"/>
      <c r="O11" s="50"/>
      <c r="P11" s="52"/>
      <c r="Q11" s="49"/>
      <c r="R11" s="50"/>
      <c r="S11" s="126"/>
      <c r="T11" s="46"/>
      <c r="U11" s="50"/>
      <c r="V11" s="52"/>
      <c r="W11" s="46"/>
      <c r="X11" s="50"/>
      <c r="Y11" s="52"/>
      <c r="Z11" s="46"/>
      <c r="AA11" s="50"/>
      <c r="AB11" s="52"/>
      <c r="AC11" s="46"/>
      <c r="AD11" s="50"/>
      <c r="AE11" s="52"/>
      <c r="AF11" s="46"/>
      <c r="AG11" s="50"/>
      <c r="AH11" s="52"/>
      <c r="AI11" s="49"/>
      <c r="AJ11" s="50"/>
      <c r="AK11" s="52"/>
      <c r="AL11" s="46"/>
      <c r="AM11" s="50"/>
      <c r="AN11" s="52"/>
      <c r="AO11" s="46"/>
      <c r="AP11" s="50"/>
      <c r="AQ11" s="52"/>
      <c r="AR11" s="46"/>
      <c r="AS11" s="50"/>
      <c r="AT11" s="52"/>
      <c r="AU11" s="46"/>
      <c r="AV11" s="50"/>
      <c r="AW11" s="52"/>
      <c r="AX11" s="46"/>
      <c r="AY11" s="50"/>
      <c r="AZ11" s="52"/>
      <c r="BA11" s="46"/>
      <c r="BB11" s="50"/>
      <c r="BC11" s="52"/>
      <c r="BD11" s="46"/>
      <c r="BE11" s="50"/>
      <c r="BF11" s="52"/>
    </row>
    <row r="12" spans="1:58" x14ac:dyDescent="0.25">
      <c r="A12" s="46">
        <v>3</v>
      </c>
      <c r="B12" s="47" t="s">
        <v>27</v>
      </c>
      <c r="C12" s="48" t="s">
        <v>26</v>
      </c>
      <c r="D12" s="50">
        <v>321</v>
      </c>
      <c r="E12" s="50">
        <v>13</v>
      </c>
      <c r="F12" s="51">
        <v>210647.33566077353</v>
      </c>
      <c r="G12" s="46"/>
      <c r="H12" s="50"/>
      <c r="I12" s="50"/>
      <c r="J12" s="52"/>
      <c r="K12" s="46"/>
      <c r="L12" s="50"/>
      <c r="M12" s="52"/>
      <c r="N12" s="46"/>
      <c r="O12" s="50"/>
      <c r="P12" s="52"/>
      <c r="Q12" s="49"/>
      <c r="R12" s="50"/>
      <c r="S12" s="126"/>
      <c r="T12" s="46"/>
      <c r="U12" s="50"/>
      <c r="V12" s="52"/>
      <c r="W12" s="46"/>
      <c r="X12" s="50"/>
      <c r="Y12" s="52"/>
      <c r="Z12" s="46"/>
      <c r="AA12" s="50"/>
      <c r="AB12" s="52"/>
      <c r="AC12" s="46"/>
      <c r="AD12" s="50"/>
      <c r="AE12" s="52"/>
      <c r="AF12" s="46"/>
      <c r="AG12" s="50"/>
      <c r="AH12" s="52"/>
      <c r="AI12" s="49"/>
      <c r="AJ12" s="50"/>
      <c r="AK12" s="52"/>
      <c r="AL12" s="46"/>
      <c r="AM12" s="50"/>
      <c r="AN12" s="52"/>
      <c r="AO12" s="46"/>
      <c r="AP12" s="50"/>
      <c r="AQ12" s="52"/>
      <c r="AR12" s="46"/>
      <c r="AS12" s="50"/>
      <c r="AT12" s="52"/>
      <c r="AU12" s="46"/>
      <c r="AV12" s="50"/>
      <c r="AW12" s="52"/>
      <c r="AX12" s="46"/>
      <c r="AY12" s="50"/>
      <c r="AZ12" s="52"/>
      <c r="BA12" s="46"/>
      <c r="BB12" s="50"/>
      <c r="BC12" s="52"/>
      <c r="BD12" s="46"/>
      <c r="BE12" s="50"/>
      <c r="BF12" s="52"/>
    </row>
    <row r="13" spans="1:58" x14ac:dyDescent="0.25">
      <c r="A13" s="46">
        <v>4</v>
      </c>
      <c r="B13" s="47" t="s">
        <v>28</v>
      </c>
      <c r="C13" s="48" t="s">
        <v>29</v>
      </c>
      <c r="D13" s="50"/>
      <c r="E13" s="50"/>
      <c r="F13" s="51">
        <v>0</v>
      </c>
      <c r="G13" s="46">
        <v>153</v>
      </c>
      <c r="H13" s="50">
        <v>1</v>
      </c>
      <c r="I13" s="52">
        <v>15606</v>
      </c>
      <c r="J13" s="52"/>
      <c r="K13" s="46"/>
      <c r="L13" s="50"/>
      <c r="M13" s="52"/>
      <c r="N13" s="46"/>
      <c r="O13" s="50"/>
      <c r="P13" s="52"/>
      <c r="Q13" s="49"/>
      <c r="R13" s="50"/>
      <c r="S13" s="126"/>
      <c r="T13" s="46"/>
      <c r="U13" s="50"/>
      <c r="V13" s="52"/>
      <c r="W13" s="46"/>
      <c r="X13" s="50"/>
      <c r="Y13" s="52"/>
      <c r="Z13" s="46"/>
      <c r="AA13" s="50"/>
      <c r="AB13" s="52"/>
      <c r="AC13" s="46"/>
      <c r="AD13" s="50"/>
      <c r="AE13" s="52"/>
      <c r="AF13" s="46"/>
      <c r="AG13" s="50"/>
      <c r="AH13" s="52"/>
      <c r="AI13" s="49"/>
      <c r="AJ13" s="50"/>
      <c r="AK13" s="52"/>
      <c r="AL13" s="46"/>
      <c r="AM13" s="50"/>
      <c r="AN13" s="52"/>
      <c r="AO13" s="46"/>
      <c r="AP13" s="50"/>
      <c r="AQ13" s="52"/>
      <c r="AR13" s="46"/>
      <c r="AS13" s="50"/>
      <c r="AT13" s="52"/>
      <c r="AU13" s="46"/>
      <c r="AV13" s="50"/>
      <c r="AW13" s="52"/>
      <c r="AX13" s="46">
        <v>153</v>
      </c>
      <c r="AY13" s="50">
        <v>1</v>
      </c>
      <c r="AZ13" s="52">
        <v>15606</v>
      </c>
      <c r="BA13" s="46"/>
      <c r="BB13" s="50"/>
      <c r="BC13" s="52"/>
      <c r="BD13" s="46"/>
      <c r="BE13" s="50"/>
      <c r="BF13" s="52"/>
    </row>
    <row r="14" spans="1:58" x14ac:dyDescent="0.25">
      <c r="A14" s="46">
        <v>5</v>
      </c>
      <c r="B14" s="47" t="s">
        <v>30</v>
      </c>
      <c r="C14" s="48"/>
      <c r="D14" s="50"/>
      <c r="E14" s="50"/>
      <c r="F14" s="51">
        <v>0</v>
      </c>
      <c r="G14" s="46"/>
      <c r="H14" s="50"/>
      <c r="I14" s="50"/>
      <c r="J14" s="52"/>
      <c r="K14" s="46"/>
      <c r="L14" s="50"/>
      <c r="M14" s="52"/>
      <c r="N14" s="46"/>
      <c r="O14" s="50"/>
      <c r="P14" s="52"/>
      <c r="Q14" s="49"/>
      <c r="R14" s="50"/>
      <c r="S14" s="126"/>
      <c r="T14" s="46"/>
      <c r="U14" s="50"/>
      <c r="V14" s="52"/>
      <c r="W14" s="46"/>
      <c r="X14" s="50"/>
      <c r="Y14" s="52"/>
      <c r="Z14" s="46"/>
      <c r="AA14" s="50"/>
      <c r="AB14" s="52"/>
      <c r="AC14" s="46"/>
      <c r="AD14" s="50"/>
      <c r="AE14" s="52"/>
      <c r="AF14" s="46"/>
      <c r="AG14" s="50"/>
      <c r="AH14" s="52"/>
      <c r="AI14" s="49"/>
      <c r="AJ14" s="50"/>
      <c r="AK14" s="52"/>
      <c r="AL14" s="46"/>
      <c r="AM14" s="50"/>
      <c r="AN14" s="52"/>
      <c r="AO14" s="46"/>
      <c r="AP14" s="50"/>
      <c r="AQ14" s="52"/>
      <c r="AR14" s="46"/>
      <c r="AS14" s="50"/>
      <c r="AT14" s="52"/>
      <c r="AU14" s="46"/>
      <c r="AV14" s="50"/>
      <c r="AW14" s="52"/>
      <c r="AX14" s="46"/>
      <c r="AY14" s="50"/>
      <c r="AZ14" s="52"/>
      <c r="BA14" s="46"/>
      <c r="BB14" s="50"/>
      <c r="BC14" s="52"/>
      <c r="BD14" s="46"/>
      <c r="BE14" s="50"/>
      <c r="BF14" s="52"/>
    </row>
    <row r="15" spans="1:58" x14ac:dyDescent="0.25">
      <c r="A15" s="46">
        <v>6</v>
      </c>
      <c r="B15" s="53" t="s">
        <v>31</v>
      </c>
      <c r="C15" s="48" t="s">
        <v>26</v>
      </c>
      <c r="D15" s="50">
        <v>950</v>
      </c>
      <c r="E15" s="50">
        <v>9</v>
      </c>
      <c r="F15" s="51">
        <v>466705.23043103365</v>
      </c>
      <c r="G15" s="46">
        <v>3985</v>
      </c>
      <c r="H15" s="50">
        <v>13</v>
      </c>
      <c r="I15" s="52">
        <v>1291069.6399999999</v>
      </c>
      <c r="J15" s="52"/>
      <c r="K15" s="46">
        <f>110</f>
        <v>110</v>
      </c>
      <c r="L15" s="50">
        <v>1</v>
      </c>
      <c r="M15" s="52">
        <f>51929.96</f>
        <v>51929.96</v>
      </c>
      <c r="N15" s="46"/>
      <c r="O15" s="50"/>
      <c r="P15" s="52"/>
      <c r="Q15" s="49">
        <v>100</v>
      </c>
      <c r="R15" s="50">
        <v>1</v>
      </c>
      <c r="S15" s="126">
        <f>47733.87</f>
        <v>47733.87</v>
      </c>
      <c r="T15" s="46">
        <f>100+70</f>
        <v>170</v>
      </c>
      <c r="U15" s="50">
        <v>1</v>
      </c>
      <c r="V15" s="52">
        <f>49665.69+35145.6</f>
        <v>84811.290000000008</v>
      </c>
      <c r="W15" s="46"/>
      <c r="X15" s="50"/>
      <c r="Y15" s="52"/>
      <c r="Z15" s="46"/>
      <c r="AA15" s="50"/>
      <c r="AB15" s="52"/>
      <c r="AC15" s="46">
        <f>250</f>
        <v>250</v>
      </c>
      <c r="AD15" s="50">
        <v>1</v>
      </c>
      <c r="AE15" s="52">
        <f>122221.18</f>
        <v>122221.18</v>
      </c>
      <c r="AF15" s="46">
        <f>100+100</f>
        <v>200</v>
      </c>
      <c r="AG15" s="50">
        <v>1</v>
      </c>
      <c r="AH15" s="52">
        <f>49643.23+47733.87</f>
        <v>97377.1</v>
      </c>
      <c r="AI15" s="49">
        <f>200</f>
        <v>200</v>
      </c>
      <c r="AJ15" s="50">
        <v>1</v>
      </c>
      <c r="AK15" s="52">
        <f>97422.03</f>
        <v>97422.03</v>
      </c>
      <c r="AL15" s="46">
        <v>635</v>
      </c>
      <c r="AM15" s="50">
        <v>1</v>
      </c>
      <c r="AN15" s="52">
        <v>78943.199999999997</v>
      </c>
      <c r="AO15" s="46">
        <v>238</v>
      </c>
      <c r="AP15" s="50">
        <v>1</v>
      </c>
      <c r="AQ15" s="52">
        <v>29588.16</v>
      </c>
      <c r="AR15" s="46">
        <v>952</v>
      </c>
      <c r="AS15" s="50">
        <v>1</v>
      </c>
      <c r="AT15" s="52">
        <v>118352.64</v>
      </c>
      <c r="AU15" s="46">
        <f>200+200</f>
        <v>400</v>
      </c>
      <c r="AV15" s="50">
        <v>1</v>
      </c>
      <c r="AW15" s="52">
        <f>99331.38+99331.38</f>
        <v>198662.76</v>
      </c>
      <c r="AX15" s="46">
        <f>150+140+80</f>
        <v>370</v>
      </c>
      <c r="AY15" s="50">
        <v>1</v>
      </c>
      <c r="AZ15" s="52">
        <f>78250.94+70677.58+34489.69</f>
        <v>183418.21000000002</v>
      </c>
      <c r="BA15" s="46">
        <f>210</f>
        <v>210</v>
      </c>
      <c r="BB15" s="50">
        <v>1</v>
      </c>
      <c r="BC15" s="52">
        <f>103527.47</f>
        <v>103527.47</v>
      </c>
      <c r="BD15" s="46">
        <f>60+90</f>
        <v>150</v>
      </c>
      <c r="BE15" s="50">
        <v>1</v>
      </c>
      <c r="BF15" s="52">
        <f>33543.99+43537.78</f>
        <v>77081.76999999999</v>
      </c>
    </row>
    <row r="16" spans="1:58" x14ac:dyDescent="0.25">
      <c r="A16" s="46">
        <v>7</v>
      </c>
      <c r="B16" s="47" t="s">
        <v>32</v>
      </c>
      <c r="C16" s="48" t="s">
        <v>33</v>
      </c>
      <c r="D16" s="50"/>
      <c r="E16" s="50"/>
      <c r="F16" s="51">
        <v>0</v>
      </c>
      <c r="G16" s="46">
        <v>0</v>
      </c>
      <c r="H16" s="50">
        <v>0</v>
      </c>
      <c r="I16" s="52">
        <v>0</v>
      </c>
      <c r="J16" s="52"/>
      <c r="K16" s="46"/>
      <c r="L16" s="50"/>
      <c r="M16" s="52"/>
      <c r="N16" s="46"/>
      <c r="O16" s="50"/>
      <c r="P16" s="52"/>
      <c r="Q16" s="49"/>
      <c r="R16" s="50"/>
      <c r="S16" s="126"/>
      <c r="T16" s="46"/>
      <c r="U16" s="50"/>
      <c r="V16" s="52"/>
      <c r="W16" s="46"/>
      <c r="X16" s="50"/>
      <c r="Y16" s="52"/>
      <c r="Z16" s="46"/>
      <c r="AA16" s="50"/>
      <c r="AB16" s="52"/>
      <c r="AC16" s="46"/>
      <c r="AD16" s="50"/>
      <c r="AE16" s="52"/>
      <c r="AF16" s="46"/>
      <c r="AG16" s="50"/>
      <c r="AH16" s="52"/>
      <c r="AI16" s="49"/>
      <c r="AJ16" s="50"/>
      <c r="AK16" s="52"/>
      <c r="AL16" s="46"/>
      <c r="AM16" s="50"/>
      <c r="AN16" s="52"/>
      <c r="AO16" s="46"/>
      <c r="AP16" s="50"/>
      <c r="AQ16" s="52"/>
      <c r="AR16" s="46"/>
      <c r="AS16" s="50"/>
      <c r="AT16" s="52"/>
      <c r="AU16" s="46"/>
      <c r="AV16" s="50"/>
      <c r="AW16" s="52"/>
      <c r="AX16" s="46"/>
      <c r="AY16" s="50"/>
      <c r="AZ16" s="52"/>
      <c r="BA16" s="46"/>
      <c r="BB16" s="50"/>
      <c r="BC16" s="52"/>
      <c r="BD16" s="46"/>
      <c r="BE16" s="50"/>
      <c r="BF16" s="52"/>
    </row>
    <row r="17" spans="1:58" x14ac:dyDescent="0.25">
      <c r="A17" s="46">
        <v>8</v>
      </c>
      <c r="B17" s="47" t="s">
        <v>34</v>
      </c>
      <c r="C17" s="48"/>
      <c r="D17" s="50"/>
      <c r="E17" s="50"/>
      <c r="F17" s="51">
        <v>0</v>
      </c>
      <c r="G17" s="46">
        <v>0</v>
      </c>
      <c r="H17" s="50">
        <v>0</v>
      </c>
      <c r="I17" s="52">
        <v>0</v>
      </c>
      <c r="J17" s="52"/>
      <c r="K17" s="46"/>
      <c r="L17" s="50"/>
      <c r="M17" s="52"/>
      <c r="N17" s="46"/>
      <c r="O17" s="50"/>
      <c r="P17" s="52"/>
      <c r="Q17" s="49"/>
      <c r="R17" s="50"/>
      <c r="S17" s="126"/>
      <c r="T17" s="46"/>
      <c r="U17" s="50"/>
      <c r="V17" s="52"/>
      <c r="W17" s="46"/>
      <c r="X17" s="50"/>
      <c r="Y17" s="52"/>
      <c r="Z17" s="46"/>
      <c r="AA17" s="50"/>
      <c r="AB17" s="52"/>
      <c r="AC17" s="46"/>
      <c r="AD17" s="50"/>
      <c r="AE17" s="52"/>
      <c r="AF17" s="46"/>
      <c r="AG17" s="50"/>
      <c r="AH17" s="52"/>
      <c r="AI17" s="49"/>
      <c r="AJ17" s="50"/>
      <c r="AK17" s="52"/>
      <c r="AL17" s="46"/>
      <c r="AM17" s="50"/>
      <c r="AN17" s="52"/>
      <c r="AO17" s="46"/>
      <c r="AP17" s="50"/>
      <c r="AQ17" s="52"/>
      <c r="AR17" s="46"/>
      <c r="AS17" s="50"/>
      <c r="AT17" s="52"/>
      <c r="AU17" s="46"/>
      <c r="AV17" s="50"/>
      <c r="AW17" s="52"/>
      <c r="AX17" s="46"/>
      <c r="AY17" s="50"/>
      <c r="AZ17" s="52"/>
      <c r="BA17" s="46"/>
      <c r="BB17" s="50"/>
      <c r="BC17" s="52"/>
      <c r="BD17" s="46"/>
      <c r="BE17" s="50"/>
      <c r="BF17" s="52"/>
    </row>
    <row r="18" spans="1:58" ht="60.75" customHeight="1" x14ac:dyDescent="0.25">
      <c r="A18" s="46">
        <v>9</v>
      </c>
      <c r="B18" s="54" t="s">
        <v>35</v>
      </c>
      <c r="C18" s="48"/>
      <c r="D18" s="50"/>
      <c r="E18" s="50"/>
      <c r="F18" s="55">
        <v>0</v>
      </c>
      <c r="G18" s="56">
        <v>5</v>
      </c>
      <c r="H18" s="57">
        <v>2</v>
      </c>
      <c r="I18" s="59">
        <v>24886.29</v>
      </c>
      <c r="J18" s="59"/>
      <c r="K18" s="46">
        <v>4</v>
      </c>
      <c r="L18" s="50">
        <v>1</v>
      </c>
      <c r="M18" s="52">
        <f>19628.16</f>
        <v>19628.16</v>
      </c>
      <c r="N18" s="60"/>
      <c r="O18" s="50"/>
      <c r="P18" s="52"/>
      <c r="Q18" s="49"/>
      <c r="R18" s="50"/>
      <c r="S18" s="126"/>
      <c r="T18" s="46"/>
      <c r="U18" s="50"/>
      <c r="V18" s="52"/>
      <c r="W18" s="46"/>
      <c r="X18" s="50"/>
      <c r="Y18" s="52"/>
      <c r="Z18" s="46"/>
      <c r="AA18" s="50"/>
      <c r="AB18" s="52"/>
      <c r="AC18" s="46">
        <v>1</v>
      </c>
      <c r="AD18" s="50">
        <v>1</v>
      </c>
      <c r="AE18" s="52">
        <f>5258.13</f>
        <v>5258.13</v>
      </c>
      <c r="AF18" s="46"/>
      <c r="AG18" s="50"/>
      <c r="AH18" s="52"/>
      <c r="AI18" s="49"/>
      <c r="AJ18" s="50"/>
      <c r="AK18" s="52"/>
      <c r="AL18" s="46"/>
      <c r="AM18" s="50"/>
      <c r="AN18" s="52"/>
      <c r="AO18" s="46"/>
      <c r="AP18" s="50"/>
      <c r="AQ18" s="52"/>
      <c r="AR18" s="46"/>
      <c r="AS18" s="50"/>
      <c r="AT18" s="52"/>
      <c r="AU18" s="46"/>
      <c r="AV18" s="50"/>
      <c r="AW18" s="59"/>
      <c r="AX18" s="46"/>
      <c r="AY18" s="50"/>
      <c r="AZ18" s="59"/>
      <c r="BA18" s="46"/>
      <c r="BB18" s="50"/>
      <c r="BC18" s="59"/>
      <c r="BD18" s="46"/>
      <c r="BE18" s="50"/>
      <c r="BF18" s="59"/>
    </row>
    <row r="19" spans="1:58" x14ac:dyDescent="0.25">
      <c r="A19" s="62">
        <v>10</v>
      </c>
      <c r="B19" s="63" t="s">
        <v>36</v>
      </c>
      <c r="C19" s="64"/>
      <c r="D19" s="45"/>
      <c r="E19" s="45"/>
      <c r="F19" s="51">
        <v>0</v>
      </c>
      <c r="G19" s="46">
        <v>0</v>
      </c>
      <c r="H19" s="50">
        <v>0</v>
      </c>
      <c r="I19" s="52">
        <v>0</v>
      </c>
      <c r="J19" s="52"/>
      <c r="K19" s="62"/>
      <c r="L19" s="45"/>
      <c r="M19" s="66"/>
      <c r="N19" s="62"/>
      <c r="O19" s="45"/>
      <c r="P19" s="66"/>
      <c r="Q19" s="65"/>
      <c r="R19" s="45"/>
      <c r="S19" s="125"/>
      <c r="T19" s="62"/>
      <c r="U19" s="45"/>
      <c r="V19" s="66"/>
      <c r="W19" s="62"/>
      <c r="X19" s="45"/>
      <c r="Y19" s="66"/>
      <c r="Z19" s="62"/>
      <c r="AA19" s="45"/>
      <c r="AB19" s="66"/>
      <c r="AC19" s="62"/>
      <c r="AD19" s="45"/>
      <c r="AE19" s="66"/>
      <c r="AF19" s="62"/>
      <c r="AG19" s="45"/>
      <c r="AH19" s="66"/>
      <c r="AI19" s="65"/>
      <c r="AJ19" s="45"/>
      <c r="AK19" s="66"/>
      <c r="AL19" s="62"/>
      <c r="AM19" s="45"/>
      <c r="AN19" s="66"/>
      <c r="AO19" s="62"/>
      <c r="AP19" s="45"/>
      <c r="AQ19" s="66"/>
      <c r="AR19" s="62"/>
      <c r="AS19" s="45"/>
      <c r="AT19" s="66"/>
      <c r="AU19" s="62"/>
      <c r="AV19" s="45"/>
      <c r="AW19" s="66"/>
      <c r="AX19" s="62"/>
      <c r="AY19" s="45"/>
      <c r="AZ19" s="66"/>
      <c r="BA19" s="62"/>
      <c r="BB19" s="45"/>
      <c r="BC19" s="66"/>
      <c r="BD19" s="62"/>
      <c r="BE19" s="45"/>
      <c r="BF19" s="66"/>
    </row>
    <row r="20" spans="1:58" x14ac:dyDescent="0.25">
      <c r="A20" s="46">
        <v>11</v>
      </c>
      <c r="B20" s="47" t="s">
        <v>37</v>
      </c>
      <c r="C20" s="48" t="s">
        <v>38</v>
      </c>
      <c r="D20" s="50"/>
      <c r="E20" s="50"/>
      <c r="F20" s="51">
        <v>220643.81958838043</v>
      </c>
      <c r="G20" s="46">
        <v>9</v>
      </c>
      <c r="H20" s="50">
        <v>2</v>
      </c>
      <c r="I20" s="52">
        <v>88212.19</v>
      </c>
      <c r="J20" s="52"/>
      <c r="K20" s="46"/>
      <c r="L20" s="50"/>
      <c r="M20" s="52"/>
      <c r="N20" s="46"/>
      <c r="O20" s="50"/>
      <c r="P20" s="52"/>
      <c r="Q20" s="49">
        <v>2</v>
      </c>
      <c r="R20" s="50">
        <v>1</v>
      </c>
      <c r="S20" s="126">
        <f>18509.51</f>
        <v>18509.509999999998</v>
      </c>
      <c r="T20" s="46"/>
      <c r="U20" s="50"/>
      <c r="V20" s="52"/>
      <c r="W20" s="46"/>
      <c r="X20" s="50"/>
      <c r="Y20" s="52"/>
      <c r="Z20" s="46"/>
      <c r="AA20" s="50"/>
      <c r="AB20" s="52"/>
      <c r="AC20" s="46"/>
      <c r="AD20" s="50"/>
      <c r="AE20" s="52"/>
      <c r="AF20" s="46"/>
      <c r="AG20" s="50"/>
      <c r="AH20" s="52"/>
      <c r="AI20" s="49"/>
      <c r="AJ20" s="50"/>
      <c r="AK20" s="52"/>
      <c r="AL20" s="46"/>
      <c r="AM20" s="50"/>
      <c r="AN20" s="52"/>
      <c r="AO20" s="46"/>
      <c r="AP20" s="50"/>
      <c r="AQ20" s="52"/>
      <c r="AR20" s="46">
        <v>6</v>
      </c>
      <c r="AS20" s="50">
        <v>1</v>
      </c>
      <c r="AT20" s="52">
        <f>58493.65</f>
        <v>58493.65</v>
      </c>
      <c r="AU20" s="46">
        <f>3</f>
        <v>3</v>
      </c>
      <c r="AV20" s="50">
        <v>1</v>
      </c>
      <c r="AW20" s="52">
        <f>29718.54</f>
        <v>29718.54</v>
      </c>
      <c r="AX20" s="46"/>
      <c r="AY20" s="50"/>
      <c r="AZ20" s="52"/>
      <c r="BA20" s="46"/>
      <c r="BB20" s="50"/>
      <c r="BC20" s="52"/>
      <c r="BD20" s="46"/>
      <c r="BE20" s="50"/>
      <c r="BF20" s="52"/>
    </row>
    <row r="21" spans="1:58" ht="21" customHeight="1" x14ac:dyDescent="0.25">
      <c r="A21" s="46">
        <v>12</v>
      </c>
      <c r="B21" s="53" t="s">
        <v>39</v>
      </c>
      <c r="C21" s="48" t="s">
        <v>29</v>
      </c>
      <c r="D21" s="50">
        <v>1242</v>
      </c>
      <c r="E21" s="50">
        <v>16</v>
      </c>
      <c r="F21" s="51">
        <v>385687.81944752845</v>
      </c>
      <c r="G21" s="46">
        <v>1157</v>
      </c>
      <c r="H21" s="50">
        <v>12</v>
      </c>
      <c r="I21" s="52">
        <v>1221070.74</v>
      </c>
      <c r="J21" s="52"/>
      <c r="K21" s="46">
        <f>68</f>
        <v>68</v>
      </c>
      <c r="L21" s="50">
        <v>1</v>
      </c>
      <c r="M21" s="52">
        <f>40284.16+4849.76+1181.55+498.67</f>
        <v>46814.140000000007</v>
      </c>
      <c r="N21" s="46"/>
      <c r="O21" s="50"/>
      <c r="P21" s="52"/>
      <c r="Q21" s="49">
        <v>25</v>
      </c>
      <c r="R21" s="50">
        <v>1</v>
      </c>
      <c r="S21" s="126">
        <f>47023.26+563.82</f>
        <v>47587.08</v>
      </c>
      <c r="T21" s="46">
        <f>288+252</f>
        <v>540</v>
      </c>
      <c r="U21" s="50">
        <v>1</v>
      </c>
      <c r="V21" s="52">
        <f>38794.8+134943.93+146359.92+83634.24</f>
        <v>403732.89</v>
      </c>
      <c r="W21" s="46">
        <f>36+4</f>
        <v>40</v>
      </c>
      <c r="X21" s="50">
        <v>1</v>
      </c>
      <c r="Y21" s="52">
        <f>9479.68+20513.92+22204.67+27609.27+65741.11</f>
        <v>145548.65</v>
      </c>
      <c r="Z21" s="46"/>
      <c r="AA21" s="50">
        <v>1</v>
      </c>
      <c r="AB21" s="52">
        <v>35896.99</v>
      </c>
      <c r="AC21" s="46"/>
      <c r="AD21" s="50"/>
      <c r="AE21" s="52"/>
      <c r="AF21" s="46">
        <f>200+130</f>
        <v>330</v>
      </c>
      <c r="AG21" s="50">
        <v>1</v>
      </c>
      <c r="AH21" s="52">
        <f>268612.55+107009.23</f>
        <v>375621.77999999997</v>
      </c>
      <c r="AI21" s="49">
        <f>3</f>
        <v>3</v>
      </c>
      <c r="AJ21" s="50">
        <v>1</v>
      </c>
      <c r="AK21" s="52">
        <f>1549.94</f>
        <v>1549.94</v>
      </c>
      <c r="AL21" s="46">
        <f>4</f>
        <v>4</v>
      </c>
      <c r="AM21" s="50">
        <v>1</v>
      </c>
      <c r="AN21" s="52">
        <f>3640.44+1239.95</f>
        <v>4880.3900000000003</v>
      </c>
      <c r="AO21" s="46"/>
      <c r="AP21" s="50"/>
      <c r="AQ21" s="52"/>
      <c r="AR21" s="46">
        <f>4+85</f>
        <v>89</v>
      </c>
      <c r="AS21" s="50">
        <v>1</v>
      </c>
      <c r="AT21" s="52">
        <f>8652.74+86719.44</f>
        <v>95372.180000000008</v>
      </c>
      <c r="AU21" s="46">
        <f>4+3+8</f>
        <v>15</v>
      </c>
      <c r="AV21" s="50">
        <v>1</v>
      </c>
      <c r="AW21" s="52">
        <f>7192.65+6774.84+9636.62</f>
        <v>23604.11</v>
      </c>
      <c r="AX21" s="46">
        <f>6+36</f>
        <v>42</v>
      </c>
      <c r="AY21" s="50">
        <v>1</v>
      </c>
      <c r="AZ21" s="52">
        <f>17974.89+21559.98</f>
        <v>39534.869999999995</v>
      </c>
      <c r="BA21" s="46"/>
      <c r="BB21" s="50"/>
      <c r="BC21" s="52"/>
      <c r="BD21" s="46">
        <f>1</f>
        <v>1</v>
      </c>
      <c r="BE21" s="50">
        <v>1</v>
      </c>
      <c r="BF21" s="52">
        <f>927.72</f>
        <v>927.72</v>
      </c>
    </row>
    <row r="22" spans="1:58" x14ac:dyDescent="0.25">
      <c r="A22" s="46">
        <v>13</v>
      </c>
      <c r="B22" s="47" t="s">
        <v>40</v>
      </c>
      <c r="C22" s="48" t="s">
        <v>29</v>
      </c>
      <c r="D22" s="50">
        <v>511</v>
      </c>
      <c r="E22" s="50">
        <v>16</v>
      </c>
      <c r="F22" s="51">
        <v>142980.66063110833</v>
      </c>
      <c r="G22" s="46">
        <v>141</v>
      </c>
      <c r="H22" s="50">
        <v>12</v>
      </c>
      <c r="I22" s="52">
        <v>262388.55000000005</v>
      </c>
      <c r="J22" s="52"/>
      <c r="K22" s="46">
        <f>4</f>
        <v>4</v>
      </c>
      <c r="L22" s="50">
        <v>1</v>
      </c>
      <c r="M22" s="52">
        <f>2803.58</f>
        <v>2803.58</v>
      </c>
      <c r="N22" s="46">
        <f>6</f>
        <v>6</v>
      </c>
      <c r="O22" s="50">
        <v>1</v>
      </c>
      <c r="P22" s="52">
        <f>10810.99</f>
        <v>10810.99</v>
      </c>
      <c r="Q22" s="49">
        <f>6+3+3</f>
        <v>12</v>
      </c>
      <c r="R22" s="50">
        <v>1</v>
      </c>
      <c r="S22" s="126">
        <f>9275.39+13583.37+1235.46</f>
        <v>24094.22</v>
      </c>
      <c r="T22" s="46"/>
      <c r="U22" s="50"/>
      <c r="V22" s="52"/>
      <c r="W22" s="46">
        <f>25+20</f>
        <v>45</v>
      </c>
      <c r="X22" s="50">
        <v>1</v>
      </c>
      <c r="Y22" s="52">
        <f>33634.89+14879.49+1136.62</f>
        <v>49651</v>
      </c>
      <c r="Z22" s="46">
        <v>20</v>
      </c>
      <c r="AA22" s="50">
        <v>1</v>
      </c>
      <c r="AB22" s="52">
        <v>17845.16</v>
      </c>
      <c r="AC22" s="46">
        <f>8</f>
        <v>8</v>
      </c>
      <c r="AD22" s="50">
        <v>1</v>
      </c>
      <c r="AE22" s="52">
        <f>11775.1+1118.65</f>
        <v>12893.75</v>
      </c>
      <c r="AF22" s="46">
        <f>10+6</f>
        <v>16</v>
      </c>
      <c r="AG22" s="50">
        <v>1</v>
      </c>
      <c r="AH22" s="52">
        <f>12518.62+3589.58</f>
        <v>16108.2</v>
      </c>
      <c r="AI22" s="49"/>
      <c r="AJ22" s="50"/>
      <c r="AK22" s="52"/>
      <c r="AL22" s="46">
        <f>4</f>
        <v>4</v>
      </c>
      <c r="AM22" s="50">
        <v>1</v>
      </c>
      <c r="AN22" s="52">
        <f>3477.38+1514.24+10142.04+5516.91+66057</f>
        <v>86707.57</v>
      </c>
      <c r="AO22" s="46"/>
      <c r="AP22" s="50"/>
      <c r="AQ22" s="52"/>
      <c r="AR22" s="46">
        <f>4+6</f>
        <v>10</v>
      </c>
      <c r="AS22" s="50">
        <v>1</v>
      </c>
      <c r="AT22" s="52">
        <f>1289.34+4929.72</f>
        <v>6219.06</v>
      </c>
      <c r="AU22" s="46">
        <f>2</f>
        <v>2</v>
      </c>
      <c r="AV22" s="50">
        <v>1</v>
      </c>
      <c r="AW22" s="52">
        <f>4151.84+6491.8+6491.8</f>
        <v>17135.439999999999</v>
      </c>
      <c r="AX22" s="46">
        <f>6+4</f>
        <v>10</v>
      </c>
      <c r="AY22" s="50">
        <v>1</v>
      </c>
      <c r="AZ22" s="52">
        <f>6762.33+10067.91</f>
        <v>16830.239999999998</v>
      </c>
      <c r="BA22" s="46">
        <f>4</f>
        <v>4</v>
      </c>
      <c r="BB22" s="50">
        <v>1</v>
      </c>
      <c r="BC22" s="52">
        <f>1289.34</f>
        <v>1289.3399999999999</v>
      </c>
      <c r="BD22" s="46"/>
      <c r="BE22" s="50"/>
      <c r="BF22" s="52"/>
    </row>
    <row r="23" spans="1:58" x14ac:dyDescent="0.25">
      <c r="A23" s="46"/>
      <c r="B23" s="47" t="s">
        <v>41</v>
      </c>
      <c r="C23" s="48" t="s">
        <v>29</v>
      </c>
      <c r="D23" s="50">
        <v>114</v>
      </c>
      <c r="E23" s="50">
        <v>16</v>
      </c>
      <c r="F23" s="51">
        <v>109013.19085257582</v>
      </c>
      <c r="G23" s="46">
        <v>81</v>
      </c>
      <c r="H23" s="50">
        <v>6</v>
      </c>
      <c r="I23" s="52">
        <v>93048.07</v>
      </c>
      <c r="J23" s="52"/>
      <c r="K23" s="46"/>
      <c r="L23" s="50"/>
      <c r="M23" s="52"/>
      <c r="N23" s="46"/>
      <c r="O23" s="50"/>
      <c r="P23" s="52"/>
      <c r="Q23" s="49">
        <v>8</v>
      </c>
      <c r="R23" s="50">
        <v>1</v>
      </c>
      <c r="S23" s="126">
        <v>5896.72</v>
      </c>
      <c r="T23" s="46"/>
      <c r="U23" s="50"/>
      <c r="V23" s="52"/>
      <c r="W23" s="46">
        <f>12+2</f>
        <v>14</v>
      </c>
      <c r="X23" s="50">
        <v>1</v>
      </c>
      <c r="Y23" s="52">
        <f>15279.04+2839.32</f>
        <v>18118.36</v>
      </c>
      <c r="Z23" s="46">
        <f>12+6</f>
        <v>18</v>
      </c>
      <c r="AA23" s="50">
        <v>1</v>
      </c>
      <c r="AB23" s="52">
        <f>16883.71+12729.78</f>
        <v>29613.489999999998</v>
      </c>
      <c r="AC23" s="46"/>
      <c r="AD23" s="50"/>
      <c r="AE23" s="52"/>
      <c r="AF23" s="46">
        <f>15+10+2</f>
        <v>27</v>
      </c>
      <c r="AG23" s="50">
        <v>1</v>
      </c>
      <c r="AH23" s="52">
        <f>12315.52+11213.52+5986.38</f>
        <v>29515.420000000002</v>
      </c>
      <c r="AI23" s="49"/>
      <c r="AJ23" s="50"/>
      <c r="AK23" s="52"/>
      <c r="AL23" s="46">
        <v>6</v>
      </c>
      <c r="AM23" s="50">
        <v>1</v>
      </c>
      <c r="AN23" s="52">
        <v>4973.46</v>
      </c>
      <c r="AO23" s="46"/>
      <c r="AP23" s="50"/>
      <c r="AQ23" s="52"/>
      <c r="AR23" s="46"/>
      <c r="AS23" s="50"/>
      <c r="AT23" s="52"/>
      <c r="AU23" s="46"/>
      <c r="AV23" s="50"/>
      <c r="AW23" s="52"/>
      <c r="AX23" s="46">
        <v>8</v>
      </c>
      <c r="AY23" s="50">
        <v>1</v>
      </c>
      <c r="AZ23" s="52">
        <f>4930.62</f>
        <v>4930.62</v>
      </c>
      <c r="BA23" s="46"/>
      <c r="BB23" s="50"/>
      <c r="BC23" s="52"/>
      <c r="BD23" s="46"/>
      <c r="BE23" s="50"/>
      <c r="BF23" s="52"/>
    </row>
    <row r="24" spans="1:58" x14ac:dyDescent="0.25">
      <c r="A24" s="46">
        <v>14</v>
      </c>
      <c r="B24" s="47" t="s">
        <v>42</v>
      </c>
      <c r="C24" s="48" t="s">
        <v>29</v>
      </c>
      <c r="D24" s="50">
        <v>1156</v>
      </c>
      <c r="E24" s="50">
        <v>16</v>
      </c>
      <c r="F24" s="51">
        <v>93729.419249544939</v>
      </c>
      <c r="G24" s="46">
        <v>275</v>
      </c>
      <c r="H24" s="50">
        <v>11</v>
      </c>
      <c r="I24" s="52">
        <v>64743.03</v>
      </c>
      <c r="J24" s="52"/>
      <c r="K24" s="46">
        <f>15</f>
        <v>15</v>
      </c>
      <c r="L24" s="50">
        <v>1</v>
      </c>
      <c r="M24" s="52">
        <f>1026.55</f>
        <v>1026.55</v>
      </c>
      <c r="N24" s="46"/>
      <c r="O24" s="50"/>
      <c r="P24" s="52"/>
      <c r="Q24" s="49">
        <f>60</f>
        <v>60</v>
      </c>
      <c r="R24" s="50">
        <v>1</v>
      </c>
      <c r="S24" s="126">
        <f>11710.72</f>
        <v>11710.72</v>
      </c>
      <c r="T24" s="46">
        <f>40+10</f>
        <v>50</v>
      </c>
      <c r="U24" s="50">
        <v>1</v>
      </c>
      <c r="V24" s="52">
        <f>13401.84+1242.2</f>
        <v>14644.04</v>
      </c>
      <c r="W24" s="46"/>
      <c r="X24" s="50"/>
      <c r="Y24" s="52"/>
      <c r="Z24" s="46"/>
      <c r="AA24" s="50"/>
      <c r="AB24" s="52"/>
      <c r="AC24" s="46">
        <f>10</f>
        <v>10</v>
      </c>
      <c r="AD24" s="50">
        <v>1</v>
      </c>
      <c r="AE24" s="52">
        <f>1792.54</f>
        <v>1792.54</v>
      </c>
      <c r="AF24" s="46">
        <f>10</f>
        <v>10</v>
      </c>
      <c r="AG24" s="50">
        <v>1</v>
      </c>
      <c r="AH24" s="52">
        <f>278.54</f>
        <v>278.54000000000002</v>
      </c>
      <c r="AI24" s="49">
        <f>10</f>
        <v>10</v>
      </c>
      <c r="AJ24" s="50">
        <v>1</v>
      </c>
      <c r="AK24" s="52">
        <f>1792.54</f>
        <v>1792.54</v>
      </c>
      <c r="AL24" s="46">
        <f>10</f>
        <v>10</v>
      </c>
      <c r="AM24" s="50">
        <v>1</v>
      </c>
      <c r="AN24" s="52">
        <f>2567.52+1792.54</f>
        <v>4360.0599999999995</v>
      </c>
      <c r="AO24" s="46">
        <f>20</f>
        <v>20</v>
      </c>
      <c r="AP24" s="50">
        <v>1</v>
      </c>
      <c r="AQ24" s="52">
        <f>898.52+770.48</f>
        <v>1669</v>
      </c>
      <c r="AR24" s="46">
        <f>30</f>
        <v>30</v>
      </c>
      <c r="AS24" s="50">
        <v>1</v>
      </c>
      <c r="AT24" s="52">
        <f>6983.74+1481.47</f>
        <v>8465.2099999999991</v>
      </c>
      <c r="AU24" s="46">
        <f>20</f>
        <v>20</v>
      </c>
      <c r="AV24" s="50">
        <v>1</v>
      </c>
      <c r="AW24" s="52">
        <f>7996.8+550.34</f>
        <v>8547.14</v>
      </c>
      <c r="AX24" s="46">
        <f>40</f>
        <v>40</v>
      </c>
      <c r="AY24" s="50">
        <v>1</v>
      </c>
      <c r="AZ24" s="52">
        <f>5584.47+4872.22</f>
        <v>10456.69</v>
      </c>
      <c r="BA24" s="46"/>
      <c r="BB24" s="50"/>
      <c r="BC24" s="52"/>
      <c r="BD24" s="46"/>
      <c r="BE24" s="50"/>
      <c r="BF24" s="52"/>
    </row>
    <row r="25" spans="1:58" x14ac:dyDescent="0.25">
      <c r="A25" s="46">
        <v>15</v>
      </c>
      <c r="B25" s="47" t="s">
        <v>43</v>
      </c>
      <c r="C25" s="48"/>
      <c r="D25" s="50"/>
      <c r="E25" s="50"/>
      <c r="F25" s="51">
        <v>0</v>
      </c>
      <c r="G25" s="46">
        <v>0</v>
      </c>
      <c r="H25" s="50">
        <v>0</v>
      </c>
      <c r="I25" s="52">
        <v>0</v>
      </c>
      <c r="J25" s="52"/>
      <c r="K25" s="46"/>
      <c r="L25" s="50"/>
      <c r="M25" s="52"/>
      <c r="N25" s="46"/>
      <c r="O25" s="50"/>
      <c r="P25" s="52"/>
      <c r="Q25" s="49"/>
      <c r="R25" s="50"/>
      <c r="S25" s="126"/>
      <c r="T25" s="46"/>
      <c r="U25" s="50"/>
      <c r="V25" s="52"/>
      <c r="W25" s="46"/>
      <c r="X25" s="50"/>
      <c r="Y25" s="52"/>
      <c r="Z25" s="46"/>
      <c r="AA25" s="50"/>
      <c r="AB25" s="52"/>
      <c r="AC25" s="46"/>
      <c r="AD25" s="50"/>
      <c r="AE25" s="52"/>
      <c r="AF25" s="46"/>
      <c r="AG25" s="50"/>
      <c r="AH25" s="52"/>
      <c r="AI25" s="49"/>
      <c r="AJ25" s="50"/>
      <c r="AK25" s="52"/>
      <c r="AL25" s="46"/>
      <c r="AM25" s="50"/>
      <c r="AN25" s="52"/>
      <c r="AO25" s="46"/>
      <c r="AP25" s="50"/>
      <c r="AQ25" s="52"/>
      <c r="AR25" s="46"/>
      <c r="AS25" s="50"/>
      <c r="AT25" s="52"/>
      <c r="AU25" s="46"/>
      <c r="AV25" s="50"/>
      <c r="AW25" s="52"/>
      <c r="AX25" s="46"/>
      <c r="AY25" s="50"/>
      <c r="AZ25" s="52"/>
      <c r="BA25" s="46"/>
      <c r="BB25" s="50"/>
      <c r="BC25" s="52"/>
      <c r="BD25" s="46"/>
      <c r="BE25" s="50"/>
      <c r="BF25" s="52"/>
    </row>
    <row r="26" spans="1:58" x14ac:dyDescent="0.25">
      <c r="A26" s="46">
        <v>16</v>
      </c>
      <c r="B26" s="47" t="s">
        <v>44</v>
      </c>
      <c r="C26" s="48"/>
      <c r="D26" s="50"/>
      <c r="E26" s="50"/>
      <c r="F26" s="51">
        <v>0</v>
      </c>
      <c r="G26" s="46">
        <v>0</v>
      </c>
      <c r="H26" s="50">
        <v>0</v>
      </c>
      <c r="I26" s="52">
        <v>0</v>
      </c>
      <c r="J26" s="52"/>
      <c r="K26" s="46"/>
      <c r="L26" s="50"/>
      <c r="M26" s="52"/>
      <c r="N26" s="46"/>
      <c r="O26" s="50"/>
      <c r="P26" s="52"/>
      <c r="Q26" s="49"/>
      <c r="R26" s="50"/>
      <c r="S26" s="126"/>
      <c r="T26" s="46"/>
      <c r="U26" s="50"/>
      <c r="V26" s="52"/>
      <c r="W26" s="46"/>
      <c r="X26" s="50"/>
      <c r="Y26" s="52"/>
      <c r="Z26" s="46"/>
      <c r="AA26" s="50"/>
      <c r="AB26" s="52"/>
      <c r="AC26" s="46"/>
      <c r="AD26" s="50"/>
      <c r="AE26" s="52"/>
      <c r="AF26" s="46"/>
      <c r="AG26" s="50"/>
      <c r="AH26" s="52"/>
      <c r="AI26" s="49"/>
      <c r="AJ26" s="50"/>
      <c r="AK26" s="52"/>
      <c r="AL26" s="46"/>
      <c r="AM26" s="50"/>
      <c r="AN26" s="52"/>
      <c r="AO26" s="46"/>
      <c r="AP26" s="50"/>
      <c r="AQ26" s="52"/>
      <c r="AR26" s="46"/>
      <c r="AS26" s="50"/>
      <c r="AT26" s="52"/>
      <c r="AU26" s="46"/>
      <c r="AV26" s="50"/>
      <c r="AW26" s="52"/>
      <c r="AX26" s="46"/>
      <c r="AY26" s="50"/>
      <c r="AZ26" s="52"/>
      <c r="BA26" s="46"/>
      <c r="BB26" s="50"/>
      <c r="BC26" s="52"/>
      <c r="BD26" s="46"/>
      <c r="BE26" s="50"/>
      <c r="BF26" s="52"/>
    </row>
    <row r="27" spans="1:58" ht="15.75" thickBot="1" x14ac:dyDescent="0.3">
      <c r="A27" s="68">
        <v>17</v>
      </c>
      <c r="B27" s="69" t="s">
        <v>45</v>
      </c>
      <c r="C27" s="70"/>
      <c r="D27" s="71"/>
      <c r="E27" s="71"/>
      <c r="F27" s="72">
        <v>0</v>
      </c>
      <c r="G27" s="68">
        <v>0</v>
      </c>
      <c r="H27" s="71">
        <v>1</v>
      </c>
      <c r="I27" s="73">
        <v>1518.49</v>
      </c>
      <c r="J27" s="73"/>
      <c r="K27" s="68"/>
      <c r="L27" s="71"/>
      <c r="M27" s="73"/>
      <c r="N27" s="68"/>
      <c r="O27" s="71"/>
      <c r="P27" s="73"/>
      <c r="Q27" s="128"/>
      <c r="R27" s="71"/>
      <c r="S27" s="129"/>
      <c r="T27" s="68"/>
      <c r="U27" s="71"/>
      <c r="V27" s="73"/>
      <c r="W27" s="68"/>
      <c r="X27" s="71"/>
      <c r="Y27" s="73"/>
      <c r="Z27" s="68"/>
      <c r="AA27" s="71"/>
      <c r="AB27" s="73"/>
      <c r="AC27" s="68"/>
      <c r="AD27" s="71"/>
      <c r="AE27" s="73"/>
      <c r="AF27" s="68"/>
      <c r="AG27" s="71">
        <v>1</v>
      </c>
      <c r="AH27" s="73">
        <f>1518.49</f>
        <v>1518.49</v>
      </c>
      <c r="AI27" s="74"/>
      <c r="AJ27" s="75"/>
      <c r="AK27" s="76"/>
      <c r="AL27" s="68"/>
      <c r="AM27" s="71"/>
      <c r="AN27" s="73"/>
      <c r="AO27" s="77"/>
      <c r="AP27" s="75"/>
      <c r="AQ27" s="76"/>
      <c r="AR27" s="77"/>
      <c r="AS27" s="75"/>
      <c r="AT27" s="76"/>
      <c r="AU27" s="77"/>
      <c r="AV27" s="75"/>
      <c r="AW27" s="76"/>
      <c r="AX27" s="77"/>
      <c r="AY27" s="75"/>
      <c r="AZ27" s="76"/>
      <c r="BA27" s="77"/>
      <c r="BB27" s="75"/>
      <c r="BC27" s="76"/>
      <c r="BD27" s="77"/>
      <c r="BE27" s="75"/>
      <c r="BF27" s="76"/>
    </row>
    <row r="28" spans="1:58" ht="15.75" thickBot="1" x14ac:dyDescent="0.3">
      <c r="A28" s="68"/>
      <c r="B28" s="69" t="s">
        <v>58</v>
      </c>
      <c r="C28" s="70"/>
      <c r="D28" s="71"/>
      <c r="E28" s="71"/>
      <c r="F28" s="72">
        <v>761326.81649022992</v>
      </c>
      <c r="G28" s="79"/>
      <c r="H28" s="80"/>
      <c r="I28" s="80"/>
      <c r="J28" s="81">
        <v>708735</v>
      </c>
      <c r="K28" s="79"/>
      <c r="L28" s="80"/>
      <c r="M28" s="81">
        <f>15201</f>
        <v>15201</v>
      </c>
      <c r="N28" s="79"/>
      <c r="O28" s="80"/>
      <c r="P28" s="81"/>
      <c r="Q28" s="79"/>
      <c r="R28" s="80"/>
      <c r="S28" s="81">
        <f>25336+30799</f>
        <v>56135</v>
      </c>
      <c r="T28" s="79"/>
      <c r="U28" s="80"/>
      <c r="V28" s="81"/>
      <c r="W28" s="79"/>
      <c r="X28" s="80"/>
      <c r="Y28" s="81">
        <f>51134</f>
        <v>51134</v>
      </c>
      <c r="Z28" s="79"/>
      <c r="AA28" s="130"/>
      <c r="AB28" s="131"/>
      <c r="AC28" s="79"/>
      <c r="AD28" s="80"/>
      <c r="AE28" s="81">
        <f>63340</f>
        <v>63340</v>
      </c>
      <c r="AF28" s="79"/>
      <c r="AG28" s="80"/>
      <c r="AH28" s="81">
        <f>25336+25336</f>
        <v>50672</v>
      </c>
      <c r="AI28" s="82"/>
      <c r="AJ28" s="83"/>
      <c r="AK28" s="84">
        <f>50672</f>
        <v>50672</v>
      </c>
      <c r="AL28" s="79"/>
      <c r="AM28" s="80"/>
      <c r="AN28" s="81">
        <f>25872</f>
        <v>25872</v>
      </c>
      <c r="AO28" s="88"/>
      <c r="AP28" s="83"/>
      <c r="AQ28" s="84"/>
      <c r="AR28" s="88"/>
      <c r="AS28" s="83"/>
      <c r="AT28" s="84">
        <f>76701</f>
        <v>76701</v>
      </c>
      <c r="AU28" s="79"/>
      <c r="AV28" s="80"/>
      <c r="AW28" s="81">
        <f>50672+50672+25567</f>
        <v>126911</v>
      </c>
      <c r="AX28" s="79"/>
      <c r="AY28" s="80"/>
      <c r="AZ28" s="81">
        <f>38004+35470+20269+21726+16218</f>
        <v>131687</v>
      </c>
      <c r="BA28" s="88"/>
      <c r="BB28" s="83"/>
      <c r="BC28" s="84">
        <v>53205</v>
      </c>
      <c r="BD28" s="88"/>
      <c r="BE28" s="83"/>
      <c r="BF28" s="84">
        <f>15202+22802</f>
        <v>38004</v>
      </c>
    </row>
    <row r="29" spans="1:58" ht="15.75" thickBot="1" x14ac:dyDescent="0.3">
      <c r="A29" s="79"/>
      <c r="B29" s="92" t="s">
        <v>47</v>
      </c>
      <c r="C29" s="93"/>
      <c r="D29" s="93"/>
      <c r="E29" s="94"/>
      <c r="F29" s="95">
        <f>SUM(F11:F27)+F28</f>
        <v>2533595.7549000001</v>
      </c>
      <c r="G29" s="96"/>
      <c r="H29" s="97"/>
      <c r="I29" s="98">
        <f>SUM(I10:I27)+J28</f>
        <v>3771278</v>
      </c>
      <c r="J29" s="97">
        <v>0</v>
      </c>
      <c r="K29" s="99"/>
      <c r="L29" s="100"/>
      <c r="M29" s="106">
        <f>SUM(M10:M27)+M28</f>
        <v>137403.39000000001</v>
      </c>
      <c r="N29" s="99"/>
      <c r="O29" s="100"/>
      <c r="P29" s="101">
        <f>SUM(P10:P27)</f>
        <v>10810.99</v>
      </c>
      <c r="Q29" s="27"/>
      <c r="R29" s="100"/>
      <c r="S29" s="106">
        <f>SUM(S10:S27)+S28</f>
        <v>211667.12</v>
      </c>
      <c r="T29" s="27"/>
      <c r="U29" s="100"/>
      <c r="V29" s="101">
        <f>SUM(V10:V27)</f>
        <v>503188.22000000003</v>
      </c>
      <c r="W29" s="27"/>
      <c r="X29" s="100"/>
      <c r="Y29" s="101">
        <f>SUM(Y10:Y27)+Y28</f>
        <v>264452.01</v>
      </c>
      <c r="Z29" s="27"/>
      <c r="AA29" s="101"/>
      <c r="AB29" s="132">
        <f>SUM(AB10:AB27)</f>
        <v>83355.639999999985</v>
      </c>
      <c r="AC29" s="27"/>
      <c r="AD29" s="100"/>
      <c r="AE29" s="101">
        <f>SUM(AE10:AE27)+AE28</f>
        <v>205505.6</v>
      </c>
      <c r="AF29" s="27"/>
      <c r="AG29" s="100"/>
      <c r="AH29" s="101">
        <f>SUM(AH10:AH27)+AH28</f>
        <v>571091.53</v>
      </c>
      <c r="AI29" s="99"/>
      <c r="AJ29" s="100"/>
      <c r="AK29" s="101">
        <f>SUM(AK10:AK27)+AK28</f>
        <v>151436.51</v>
      </c>
      <c r="AL29" s="27"/>
      <c r="AM29" s="100"/>
      <c r="AN29" s="101">
        <f>SUM(AN10:AN27)+AN28</f>
        <v>205736.68</v>
      </c>
      <c r="AO29" s="27"/>
      <c r="AP29" s="100"/>
      <c r="AQ29" s="101">
        <f>SUM(AQ10:AQ27)</f>
        <v>31257.16</v>
      </c>
      <c r="AR29" s="27"/>
      <c r="AS29" s="100"/>
      <c r="AT29" s="101">
        <f>SUM(AT10:AT27)+AT28</f>
        <v>363603.74000000005</v>
      </c>
      <c r="AU29" s="102"/>
      <c r="AV29" s="103"/>
      <c r="AW29" s="133">
        <f>SUM(AW10:AW27)+AW28</f>
        <v>404578.99000000005</v>
      </c>
      <c r="AX29" s="102"/>
      <c r="AY29" s="103"/>
      <c r="AZ29" s="133">
        <f>SUM(AZ10:AZ27)+AZ28</f>
        <v>402463.63</v>
      </c>
      <c r="BA29" s="27"/>
      <c r="BB29" s="100"/>
      <c r="BC29" s="101">
        <f>SUM(BC10:BC27)+BC28</f>
        <v>158021.81</v>
      </c>
      <c r="BD29" s="27"/>
      <c r="BE29" s="100"/>
      <c r="BF29" s="101">
        <f>SUM(BF10:BF27)+BF28</f>
        <v>116013.48999999999</v>
      </c>
    </row>
    <row r="30" spans="1:58" x14ac:dyDescent="0.25">
      <c r="A30" s="3"/>
      <c r="B30" s="134"/>
      <c r="C30" s="135"/>
      <c r="D30" s="135"/>
      <c r="E30" s="135"/>
      <c r="F30" s="136"/>
      <c r="G30" s="134"/>
      <c r="H30" s="134"/>
      <c r="I30" s="134"/>
      <c r="J30" s="134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</row>
    <row r="31" spans="1:58" x14ac:dyDescent="0.25">
      <c r="A31" s="3"/>
      <c r="B31" s="134"/>
      <c r="C31" s="135"/>
      <c r="D31" s="135"/>
      <c r="E31" s="135"/>
      <c r="F31" s="134"/>
      <c r="G31" s="134"/>
      <c r="H31" s="134"/>
      <c r="I31" s="134"/>
      <c r="J31" s="134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</row>
    <row r="32" spans="1:58" x14ac:dyDescent="0.25">
      <c r="A32" s="3"/>
      <c r="B32" s="134"/>
      <c r="C32" s="135"/>
      <c r="D32" s="135"/>
      <c r="E32" s="135"/>
      <c r="F32" s="134"/>
      <c r="G32" s="134"/>
      <c r="H32" s="134"/>
      <c r="I32" s="134"/>
      <c r="J32" s="134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</row>
    <row r="33" spans="1:13" x14ac:dyDescent="0.25">
      <c r="A33" s="3"/>
      <c r="B33" s="3"/>
      <c r="C33" s="3"/>
      <c r="D33" s="3"/>
      <c r="E33" s="3"/>
      <c r="F33" s="3"/>
      <c r="G33" s="3"/>
    </row>
    <row r="34" spans="1:13" ht="15.75" x14ac:dyDescent="0.25">
      <c r="A34" s="3"/>
      <c r="B34" s="108" t="s">
        <v>59</v>
      </c>
      <c r="I34" s="108" t="s">
        <v>49</v>
      </c>
      <c r="K34" s="108"/>
      <c r="M34" s="108"/>
    </row>
  </sheetData>
  <mergeCells count="26">
    <mergeCell ref="A6:A8"/>
    <mergeCell ref="B6:B8"/>
    <mergeCell ref="C6:C8"/>
    <mergeCell ref="D6:F6"/>
    <mergeCell ref="G6:J6"/>
    <mergeCell ref="D7:D8"/>
    <mergeCell ref="J7:J8"/>
    <mergeCell ref="B1:J1"/>
    <mergeCell ref="B2:J2"/>
    <mergeCell ref="B3:J3"/>
    <mergeCell ref="B4:J4"/>
    <mergeCell ref="E7:E8"/>
    <mergeCell ref="F7:F8"/>
    <mergeCell ref="G7:G8"/>
    <mergeCell ref="H7:H8"/>
    <mergeCell ref="I7:I8"/>
    <mergeCell ref="K7:M7"/>
    <mergeCell ref="K8:K9"/>
    <mergeCell ref="L8:L9"/>
    <mergeCell ref="M8:M9"/>
    <mergeCell ref="N8:N9"/>
    <mergeCell ref="O8:O9"/>
    <mergeCell ref="P8:P9"/>
    <mergeCell ref="Q8:Q9"/>
    <mergeCell ref="R8:R9"/>
    <mergeCell ref="S8:S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36"/>
  <sheetViews>
    <sheetView zoomScale="90" zoomScaleNormal="90" workbookViewId="0">
      <selection activeCell="BP12" sqref="BP12:BR29"/>
    </sheetView>
  </sheetViews>
  <sheetFormatPr defaultRowHeight="15" x14ac:dyDescent="0.25"/>
  <cols>
    <col min="1" max="1" width="5" customWidth="1"/>
    <col min="2" max="2" width="23.28515625" customWidth="1"/>
    <col min="3" max="3" width="6.5703125" customWidth="1"/>
    <col min="4" max="4" width="7.5703125" customWidth="1"/>
    <col min="5" max="5" width="10.7109375" customWidth="1"/>
    <col min="6" max="6" width="13.42578125" customWidth="1"/>
  </cols>
  <sheetData>
    <row r="2" spans="1:82" ht="15.75" x14ac:dyDescent="0.25">
      <c r="B2" s="313" t="s">
        <v>0</v>
      </c>
      <c r="C2" s="314"/>
      <c r="D2" s="314"/>
      <c r="E2" s="314"/>
      <c r="F2" s="314"/>
      <c r="G2" s="314"/>
      <c r="H2" s="314"/>
      <c r="I2" s="314"/>
      <c r="J2" s="314"/>
      <c r="O2" s="1"/>
    </row>
    <row r="3" spans="1:82" ht="15.75" x14ac:dyDescent="0.25">
      <c r="B3" s="313" t="s">
        <v>60</v>
      </c>
      <c r="C3" s="313"/>
      <c r="D3" s="313"/>
      <c r="E3" s="313"/>
      <c r="F3" s="313"/>
      <c r="G3" s="313"/>
      <c r="H3" s="313"/>
      <c r="I3" s="313"/>
      <c r="J3" s="313"/>
      <c r="M3" s="2"/>
    </row>
    <row r="4" spans="1:82" x14ac:dyDescent="0.25">
      <c r="B4" s="242"/>
      <c r="C4" s="240"/>
      <c r="D4" s="240"/>
      <c r="E4" s="240"/>
      <c r="F4" s="240"/>
      <c r="G4" s="240"/>
      <c r="H4" s="240"/>
      <c r="I4" s="240"/>
      <c r="J4" s="240"/>
      <c r="M4" s="4"/>
    </row>
    <row r="5" spans="1:82" ht="15.75" x14ac:dyDescent="0.25">
      <c r="B5" s="313" t="s">
        <v>125</v>
      </c>
      <c r="C5" s="314"/>
      <c r="D5" s="314"/>
      <c r="E5" s="314"/>
      <c r="F5" s="314"/>
      <c r="G5" s="314"/>
      <c r="H5" s="314"/>
      <c r="I5" s="314"/>
      <c r="J5" s="314"/>
      <c r="M5" s="1"/>
    </row>
    <row r="6" spans="1:82" ht="15.75" thickBot="1" x14ac:dyDescent="0.3">
      <c r="B6" s="204"/>
      <c r="C6" s="3"/>
      <c r="D6" s="3"/>
      <c r="E6" s="3"/>
      <c r="F6" s="3"/>
      <c r="G6" s="3"/>
      <c r="H6" s="3"/>
      <c r="I6" s="3"/>
      <c r="J6" s="3"/>
    </row>
    <row r="7" spans="1:82" ht="15.75" thickBot="1" x14ac:dyDescent="0.3">
      <c r="A7" s="244" t="s">
        <v>3</v>
      </c>
      <c r="B7" s="246" t="s">
        <v>4</v>
      </c>
      <c r="C7" s="317" t="s">
        <v>5</v>
      </c>
      <c r="D7" s="255" t="s">
        <v>6</v>
      </c>
      <c r="E7" s="253"/>
      <c r="F7" s="254"/>
      <c r="G7" s="255" t="s">
        <v>61</v>
      </c>
      <c r="H7" s="252"/>
      <c r="I7" s="252"/>
      <c r="J7" s="252"/>
      <c r="K7" s="300" t="s">
        <v>62</v>
      </c>
      <c r="L7" s="301"/>
      <c r="M7" s="302"/>
      <c r="N7" s="306" t="s">
        <v>63</v>
      </c>
      <c r="O7" s="307"/>
      <c r="P7" s="308"/>
      <c r="Q7" s="306" t="s">
        <v>64</v>
      </c>
      <c r="R7" s="311"/>
      <c r="S7" s="312"/>
      <c r="T7" s="306" t="s">
        <v>65</v>
      </c>
      <c r="U7" s="307"/>
      <c r="V7" s="308"/>
      <c r="W7" s="306" t="s">
        <v>66</v>
      </c>
      <c r="X7" s="311"/>
      <c r="Y7" s="312"/>
      <c r="Z7" s="306" t="s">
        <v>67</v>
      </c>
      <c r="AA7" s="307"/>
      <c r="AB7" s="308"/>
      <c r="AC7" s="306" t="s">
        <v>68</v>
      </c>
      <c r="AD7" s="307"/>
      <c r="AE7" s="308"/>
      <c r="AF7" s="306" t="s">
        <v>69</v>
      </c>
      <c r="AG7" s="307"/>
      <c r="AH7" s="308"/>
      <c r="AI7" s="306" t="s">
        <v>70</v>
      </c>
      <c r="AJ7" s="307"/>
      <c r="AK7" s="308"/>
      <c r="AL7" s="306" t="s">
        <v>71</v>
      </c>
      <c r="AM7" s="307"/>
      <c r="AN7" s="308"/>
      <c r="AO7" s="306" t="s">
        <v>72</v>
      </c>
      <c r="AP7" s="307"/>
      <c r="AQ7" s="308"/>
      <c r="AR7" s="306" t="s">
        <v>73</v>
      </c>
      <c r="AS7" s="307"/>
      <c r="AT7" s="308"/>
      <c r="AU7" s="306" t="s">
        <v>74</v>
      </c>
      <c r="AV7" s="307"/>
      <c r="AW7" s="308"/>
      <c r="AX7" s="306" t="s">
        <v>75</v>
      </c>
      <c r="AY7" s="307"/>
      <c r="AZ7" s="308"/>
      <c r="BA7" s="306" t="s">
        <v>76</v>
      </c>
      <c r="BB7" s="307"/>
      <c r="BC7" s="308"/>
      <c r="BD7" s="300" t="s">
        <v>77</v>
      </c>
      <c r="BE7" s="309"/>
      <c r="BF7" s="310"/>
      <c r="BG7" s="300" t="s">
        <v>78</v>
      </c>
      <c r="BH7" s="301"/>
      <c r="BI7" s="302"/>
      <c r="BJ7" s="300" t="s">
        <v>79</v>
      </c>
      <c r="BK7" s="301"/>
      <c r="BL7" s="302"/>
      <c r="BM7" s="300" t="s">
        <v>80</v>
      </c>
      <c r="BN7" s="301"/>
      <c r="BO7" s="302"/>
      <c r="BP7" s="300" t="s">
        <v>81</v>
      </c>
      <c r="BQ7" s="301"/>
      <c r="BR7" s="302"/>
      <c r="BS7" s="300" t="s">
        <v>82</v>
      </c>
      <c r="BT7" s="301"/>
      <c r="BU7" s="302"/>
      <c r="BV7" s="303" t="s">
        <v>83</v>
      </c>
      <c r="BW7" s="304"/>
      <c r="BX7" s="305"/>
      <c r="BY7" s="303" t="s">
        <v>84</v>
      </c>
      <c r="BZ7" s="304"/>
      <c r="CA7" s="305"/>
      <c r="CB7" s="303" t="s">
        <v>85</v>
      </c>
      <c r="CC7" s="304"/>
      <c r="CD7" s="305"/>
    </row>
    <row r="8" spans="1:82" ht="15.75" thickBot="1" x14ac:dyDescent="0.3">
      <c r="A8" s="315"/>
      <c r="B8" s="316"/>
      <c r="C8" s="318"/>
      <c r="D8" s="321" t="s">
        <v>14</v>
      </c>
      <c r="E8" s="290" t="s">
        <v>15</v>
      </c>
      <c r="F8" s="293" t="s">
        <v>50</v>
      </c>
      <c r="G8" s="296" t="s">
        <v>16</v>
      </c>
      <c r="H8" s="290" t="s">
        <v>17</v>
      </c>
      <c r="I8" s="290" t="s">
        <v>124</v>
      </c>
      <c r="J8" s="237" t="s">
        <v>18</v>
      </c>
      <c r="K8" s="287" t="s">
        <v>19</v>
      </c>
      <c r="L8" s="288"/>
      <c r="M8" s="289"/>
      <c r="N8" s="287" t="s">
        <v>19</v>
      </c>
      <c r="O8" s="288"/>
      <c r="P8" s="289"/>
      <c r="Q8" s="287" t="s">
        <v>19</v>
      </c>
      <c r="R8" s="288"/>
      <c r="S8" s="289"/>
      <c r="T8" s="287" t="s">
        <v>19</v>
      </c>
      <c r="U8" s="288"/>
      <c r="V8" s="289"/>
      <c r="W8" s="287" t="s">
        <v>19</v>
      </c>
      <c r="X8" s="288"/>
      <c r="Y8" s="289"/>
      <c r="Z8" s="287" t="s">
        <v>19</v>
      </c>
      <c r="AA8" s="288"/>
      <c r="AB8" s="289"/>
      <c r="AC8" s="287" t="s">
        <v>19</v>
      </c>
      <c r="AD8" s="288"/>
      <c r="AE8" s="289"/>
      <c r="AF8" s="287" t="s">
        <v>19</v>
      </c>
      <c r="AG8" s="288"/>
      <c r="AH8" s="289"/>
      <c r="AI8" s="287" t="s">
        <v>19</v>
      </c>
      <c r="AJ8" s="288"/>
      <c r="AK8" s="289"/>
      <c r="AL8" s="287" t="s">
        <v>19</v>
      </c>
      <c r="AM8" s="288"/>
      <c r="AN8" s="289"/>
      <c r="AO8" s="287" t="s">
        <v>19</v>
      </c>
      <c r="AP8" s="288"/>
      <c r="AQ8" s="289"/>
      <c r="AR8" s="287" t="s">
        <v>19</v>
      </c>
      <c r="AS8" s="288"/>
      <c r="AT8" s="289"/>
      <c r="AU8" s="287" t="s">
        <v>19</v>
      </c>
      <c r="AV8" s="288"/>
      <c r="AW8" s="289"/>
      <c r="AX8" s="287" t="s">
        <v>19</v>
      </c>
      <c r="AY8" s="288"/>
      <c r="AZ8" s="289"/>
      <c r="BA8" s="287" t="s">
        <v>19</v>
      </c>
      <c r="BB8" s="288"/>
      <c r="BC8" s="289"/>
      <c r="BD8" s="287" t="s">
        <v>19</v>
      </c>
      <c r="BE8" s="288"/>
      <c r="BF8" s="289"/>
      <c r="BG8" s="287" t="s">
        <v>19</v>
      </c>
      <c r="BH8" s="288"/>
      <c r="BI8" s="289"/>
      <c r="BJ8" s="287" t="s">
        <v>19</v>
      </c>
      <c r="BK8" s="288"/>
      <c r="BL8" s="289"/>
      <c r="BM8" s="287" t="s">
        <v>19</v>
      </c>
      <c r="BN8" s="288"/>
      <c r="BO8" s="289"/>
      <c r="BP8" s="287" t="s">
        <v>19</v>
      </c>
      <c r="BQ8" s="288"/>
      <c r="BR8" s="289"/>
      <c r="BS8" s="287" t="s">
        <v>19</v>
      </c>
      <c r="BT8" s="288"/>
      <c r="BU8" s="289"/>
      <c r="BV8" s="287" t="s">
        <v>19</v>
      </c>
      <c r="BW8" s="288"/>
      <c r="BX8" s="289"/>
      <c r="BY8" s="287" t="s">
        <v>19</v>
      </c>
      <c r="BZ8" s="288"/>
      <c r="CA8" s="289"/>
      <c r="CB8" s="287" t="s">
        <v>19</v>
      </c>
      <c r="CC8" s="288"/>
      <c r="CD8" s="289"/>
    </row>
    <row r="9" spans="1:82" ht="15" customHeight="1" x14ac:dyDescent="0.25">
      <c r="A9" s="226"/>
      <c r="B9" s="247"/>
      <c r="C9" s="319"/>
      <c r="D9" s="322"/>
      <c r="E9" s="291"/>
      <c r="F9" s="294"/>
      <c r="G9" s="297"/>
      <c r="H9" s="291"/>
      <c r="I9" s="291"/>
      <c r="J9" s="299"/>
      <c r="K9" s="272" t="s">
        <v>16</v>
      </c>
      <c r="L9" s="275" t="s">
        <v>17</v>
      </c>
      <c r="M9" s="277" t="s">
        <v>20</v>
      </c>
      <c r="N9" s="272" t="s">
        <v>16</v>
      </c>
      <c r="O9" s="275" t="s">
        <v>17</v>
      </c>
      <c r="P9" s="277" t="s">
        <v>20</v>
      </c>
      <c r="Q9" s="272" t="s">
        <v>16</v>
      </c>
      <c r="R9" s="275" t="s">
        <v>17</v>
      </c>
      <c r="S9" s="277" t="s">
        <v>20</v>
      </c>
      <c r="T9" s="272" t="s">
        <v>16</v>
      </c>
      <c r="U9" s="275" t="s">
        <v>17</v>
      </c>
      <c r="V9" s="277" t="s">
        <v>20</v>
      </c>
      <c r="W9" s="272" t="s">
        <v>16</v>
      </c>
      <c r="X9" s="275" t="s">
        <v>17</v>
      </c>
      <c r="Y9" s="277" t="s">
        <v>20</v>
      </c>
      <c r="Z9" s="272" t="s">
        <v>16</v>
      </c>
      <c r="AA9" s="275" t="s">
        <v>17</v>
      </c>
      <c r="AB9" s="277" t="s">
        <v>20</v>
      </c>
      <c r="AC9" s="272" t="s">
        <v>16</v>
      </c>
      <c r="AD9" s="275" t="s">
        <v>17</v>
      </c>
      <c r="AE9" s="277" t="s">
        <v>20</v>
      </c>
      <c r="AF9" s="272" t="s">
        <v>16</v>
      </c>
      <c r="AG9" s="275" t="s">
        <v>17</v>
      </c>
      <c r="AH9" s="277" t="s">
        <v>20</v>
      </c>
      <c r="AI9" s="272" t="s">
        <v>16</v>
      </c>
      <c r="AJ9" s="275" t="s">
        <v>17</v>
      </c>
      <c r="AK9" s="277" t="s">
        <v>20</v>
      </c>
      <c r="AL9" s="272" t="s">
        <v>16</v>
      </c>
      <c r="AM9" s="275" t="s">
        <v>17</v>
      </c>
      <c r="AN9" s="277" t="s">
        <v>20</v>
      </c>
      <c r="AO9" s="272" t="s">
        <v>16</v>
      </c>
      <c r="AP9" s="275" t="s">
        <v>17</v>
      </c>
      <c r="AQ9" s="277" t="s">
        <v>20</v>
      </c>
      <c r="AR9" s="272" t="s">
        <v>16</v>
      </c>
      <c r="AS9" s="275" t="s">
        <v>17</v>
      </c>
      <c r="AT9" s="277" t="s">
        <v>20</v>
      </c>
      <c r="AU9" s="272" t="s">
        <v>16</v>
      </c>
      <c r="AV9" s="275" t="s">
        <v>17</v>
      </c>
      <c r="AW9" s="277" t="s">
        <v>20</v>
      </c>
      <c r="AX9" s="272" t="s">
        <v>16</v>
      </c>
      <c r="AY9" s="275" t="s">
        <v>17</v>
      </c>
      <c r="AZ9" s="277" t="s">
        <v>20</v>
      </c>
      <c r="BA9" s="272" t="s">
        <v>16</v>
      </c>
      <c r="BB9" s="275" t="s">
        <v>17</v>
      </c>
      <c r="BC9" s="277" t="s">
        <v>20</v>
      </c>
      <c r="BD9" s="272" t="s">
        <v>16</v>
      </c>
      <c r="BE9" s="275" t="s">
        <v>17</v>
      </c>
      <c r="BF9" s="284" t="s">
        <v>20</v>
      </c>
      <c r="BG9" s="272" t="s">
        <v>16</v>
      </c>
      <c r="BH9" s="280" t="s">
        <v>17</v>
      </c>
      <c r="BI9" s="277" t="s">
        <v>20</v>
      </c>
      <c r="BJ9" s="281" t="s">
        <v>16</v>
      </c>
      <c r="BK9" s="275" t="s">
        <v>17</v>
      </c>
      <c r="BL9" s="277" t="s">
        <v>20</v>
      </c>
      <c r="BM9" s="272" t="s">
        <v>16</v>
      </c>
      <c r="BN9" s="275" t="s">
        <v>17</v>
      </c>
      <c r="BO9" s="277" t="s">
        <v>20</v>
      </c>
      <c r="BP9" s="272" t="s">
        <v>16</v>
      </c>
      <c r="BQ9" s="280" t="s">
        <v>17</v>
      </c>
      <c r="BR9" s="277" t="s">
        <v>20</v>
      </c>
      <c r="BS9" s="272" t="s">
        <v>16</v>
      </c>
      <c r="BT9" s="275" t="s">
        <v>17</v>
      </c>
      <c r="BU9" s="277" t="s">
        <v>20</v>
      </c>
      <c r="BV9" s="272" t="s">
        <v>16</v>
      </c>
      <c r="BW9" s="275" t="s">
        <v>17</v>
      </c>
      <c r="BX9" s="277" t="s">
        <v>20</v>
      </c>
      <c r="BY9" s="272" t="s">
        <v>16</v>
      </c>
      <c r="BZ9" s="275" t="s">
        <v>17</v>
      </c>
      <c r="CA9" s="277" t="s">
        <v>20</v>
      </c>
      <c r="CB9" s="272" t="s">
        <v>16</v>
      </c>
      <c r="CC9" s="275" t="s">
        <v>17</v>
      </c>
      <c r="CD9" s="277" t="s">
        <v>20</v>
      </c>
    </row>
    <row r="10" spans="1:82" ht="15.75" thickBot="1" x14ac:dyDescent="0.3">
      <c r="A10" s="245"/>
      <c r="B10" s="248"/>
      <c r="C10" s="320"/>
      <c r="D10" s="323"/>
      <c r="E10" s="292"/>
      <c r="F10" s="295"/>
      <c r="G10" s="298"/>
      <c r="H10" s="292"/>
      <c r="I10" s="292"/>
      <c r="J10" s="238"/>
      <c r="K10" s="273"/>
      <c r="L10" s="275"/>
      <c r="M10" s="278"/>
      <c r="N10" s="273"/>
      <c r="O10" s="275"/>
      <c r="P10" s="278"/>
      <c r="Q10" s="273"/>
      <c r="R10" s="275"/>
      <c r="S10" s="278"/>
      <c r="T10" s="273"/>
      <c r="U10" s="275"/>
      <c r="V10" s="278"/>
      <c r="W10" s="273"/>
      <c r="X10" s="275"/>
      <c r="Y10" s="278"/>
      <c r="Z10" s="273"/>
      <c r="AA10" s="275"/>
      <c r="AB10" s="278"/>
      <c r="AC10" s="273"/>
      <c r="AD10" s="275"/>
      <c r="AE10" s="278"/>
      <c r="AF10" s="273"/>
      <c r="AG10" s="275"/>
      <c r="AH10" s="278"/>
      <c r="AI10" s="273"/>
      <c r="AJ10" s="275"/>
      <c r="AK10" s="278"/>
      <c r="AL10" s="273"/>
      <c r="AM10" s="275"/>
      <c r="AN10" s="278"/>
      <c r="AO10" s="273"/>
      <c r="AP10" s="275"/>
      <c r="AQ10" s="278"/>
      <c r="AR10" s="273"/>
      <c r="AS10" s="275"/>
      <c r="AT10" s="278"/>
      <c r="AU10" s="273"/>
      <c r="AV10" s="275"/>
      <c r="AW10" s="278"/>
      <c r="AX10" s="273"/>
      <c r="AY10" s="275"/>
      <c r="AZ10" s="278"/>
      <c r="BA10" s="273"/>
      <c r="BB10" s="275"/>
      <c r="BC10" s="278"/>
      <c r="BD10" s="273"/>
      <c r="BE10" s="275"/>
      <c r="BF10" s="285"/>
      <c r="BG10" s="273"/>
      <c r="BH10" s="275"/>
      <c r="BI10" s="278"/>
      <c r="BJ10" s="282"/>
      <c r="BK10" s="275"/>
      <c r="BL10" s="278"/>
      <c r="BM10" s="273"/>
      <c r="BN10" s="275"/>
      <c r="BO10" s="278"/>
      <c r="BP10" s="273"/>
      <c r="BQ10" s="275"/>
      <c r="BR10" s="278"/>
      <c r="BS10" s="273"/>
      <c r="BT10" s="275"/>
      <c r="BU10" s="278"/>
      <c r="BV10" s="273"/>
      <c r="BW10" s="275"/>
      <c r="BX10" s="278"/>
      <c r="BY10" s="273"/>
      <c r="BZ10" s="275"/>
      <c r="CA10" s="278"/>
      <c r="CB10" s="273"/>
      <c r="CC10" s="275"/>
      <c r="CD10" s="278"/>
    </row>
    <row r="11" spans="1:82" ht="15.75" thickBot="1" x14ac:dyDescent="0.3">
      <c r="A11" s="27">
        <v>1</v>
      </c>
      <c r="B11" s="28">
        <v>2</v>
      </c>
      <c r="C11" s="28">
        <v>3</v>
      </c>
      <c r="D11" s="138">
        <v>4</v>
      </c>
      <c r="E11" s="139">
        <v>5</v>
      </c>
      <c r="F11" s="140">
        <v>6</v>
      </c>
      <c r="G11" s="141">
        <v>7</v>
      </c>
      <c r="H11" s="142">
        <v>8</v>
      </c>
      <c r="I11" s="142">
        <v>9</v>
      </c>
      <c r="J11" s="142">
        <v>10</v>
      </c>
      <c r="K11" s="274"/>
      <c r="L11" s="276"/>
      <c r="M11" s="279"/>
      <c r="N11" s="274"/>
      <c r="O11" s="276"/>
      <c r="P11" s="279"/>
      <c r="Q11" s="274"/>
      <c r="R11" s="276"/>
      <c r="S11" s="279"/>
      <c r="T11" s="274"/>
      <c r="U11" s="276"/>
      <c r="V11" s="279"/>
      <c r="W11" s="274"/>
      <c r="X11" s="276"/>
      <c r="Y11" s="279"/>
      <c r="Z11" s="274"/>
      <c r="AA11" s="276"/>
      <c r="AB11" s="279"/>
      <c r="AC11" s="274"/>
      <c r="AD11" s="276"/>
      <c r="AE11" s="279"/>
      <c r="AF11" s="274"/>
      <c r="AG11" s="276"/>
      <c r="AH11" s="279"/>
      <c r="AI11" s="274"/>
      <c r="AJ11" s="276"/>
      <c r="AK11" s="279"/>
      <c r="AL11" s="274"/>
      <c r="AM11" s="276"/>
      <c r="AN11" s="279"/>
      <c r="AO11" s="274"/>
      <c r="AP11" s="276"/>
      <c r="AQ11" s="279"/>
      <c r="AR11" s="274"/>
      <c r="AS11" s="276"/>
      <c r="AT11" s="279"/>
      <c r="AU11" s="274"/>
      <c r="AV11" s="276"/>
      <c r="AW11" s="279"/>
      <c r="AX11" s="274"/>
      <c r="AY11" s="276"/>
      <c r="AZ11" s="279"/>
      <c r="BA11" s="274"/>
      <c r="BB11" s="276"/>
      <c r="BC11" s="279"/>
      <c r="BD11" s="274"/>
      <c r="BE11" s="276"/>
      <c r="BF11" s="286"/>
      <c r="BG11" s="274"/>
      <c r="BH11" s="276"/>
      <c r="BI11" s="279"/>
      <c r="BJ11" s="283"/>
      <c r="BK11" s="276"/>
      <c r="BL11" s="279"/>
      <c r="BM11" s="274"/>
      <c r="BN11" s="276"/>
      <c r="BO11" s="279"/>
      <c r="BP11" s="274"/>
      <c r="BQ11" s="276"/>
      <c r="BR11" s="279"/>
      <c r="BS11" s="274"/>
      <c r="BT11" s="276"/>
      <c r="BU11" s="279"/>
      <c r="BV11" s="274"/>
      <c r="BW11" s="276"/>
      <c r="BX11" s="279"/>
      <c r="BY11" s="274"/>
      <c r="BZ11" s="276"/>
      <c r="CA11" s="279"/>
      <c r="CB11" s="274"/>
      <c r="CC11" s="276"/>
      <c r="CD11" s="279"/>
    </row>
    <row r="12" spans="1:82" x14ac:dyDescent="0.25">
      <c r="A12" s="62">
        <v>1</v>
      </c>
      <c r="B12" s="63" t="s">
        <v>24</v>
      </c>
      <c r="C12" s="45"/>
      <c r="D12" s="45"/>
      <c r="E12" s="45"/>
      <c r="F12" s="125"/>
      <c r="G12" s="39"/>
      <c r="H12" s="41"/>
      <c r="I12" s="41"/>
      <c r="J12" s="41"/>
      <c r="K12" s="39"/>
      <c r="L12" s="41"/>
      <c r="M12" s="42"/>
      <c r="N12" s="65"/>
      <c r="O12" s="45"/>
      <c r="P12" s="66"/>
      <c r="Q12" s="65"/>
      <c r="R12" s="45"/>
      <c r="S12" s="125"/>
      <c r="T12" s="62"/>
      <c r="U12" s="45"/>
      <c r="V12" s="66"/>
      <c r="W12" s="65"/>
      <c r="X12" s="45"/>
      <c r="Y12" s="125"/>
      <c r="Z12" s="39"/>
      <c r="AA12" s="41"/>
      <c r="AB12" s="42"/>
      <c r="AC12" s="39"/>
      <c r="AD12" s="41"/>
      <c r="AE12" s="42"/>
      <c r="AF12" s="62"/>
      <c r="AG12" s="45"/>
      <c r="AH12" s="66"/>
      <c r="AI12" s="65"/>
      <c r="AJ12" s="45"/>
      <c r="AK12" s="125"/>
      <c r="AL12" s="39"/>
      <c r="AM12" s="41"/>
      <c r="AN12" s="143"/>
      <c r="AO12" s="39"/>
      <c r="AP12" s="41"/>
      <c r="AQ12" s="42"/>
      <c r="AR12" s="62"/>
      <c r="AS12" s="45"/>
      <c r="AT12" s="66"/>
      <c r="AU12" s="62"/>
      <c r="AV12" s="45"/>
      <c r="AW12" s="66"/>
      <c r="AX12" s="62"/>
      <c r="AY12" s="45"/>
      <c r="AZ12" s="125"/>
      <c r="BA12" s="39"/>
      <c r="BB12" s="41"/>
      <c r="BC12" s="42"/>
      <c r="BD12" s="65"/>
      <c r="BE12" s="45"/>
      <c r="BF12" s="125"/>
      <c r="BG12" s="62"/>
      <c r="BH12" s="45"/>
      <c r="BI12" s="66"/>
      <c r="BJ12" s="65"/>
      <c r="BK12" s="45"/>
      <c r="BL12" s="125"/>
      <c r="BM12" s="62"/>
      <c r="BN12" s="45"/>
      <c r="BO12" s="66"/>
      <c r="BP12" s="39"/>
      <c r="BQ12" s="41"/>
      <c r="BR12" s="42"/>
      <c r="BS12" s="62"/>
      <c r="BT12" s="45"/>
      <c r="BU12" s="66"/>
      <c r="BV12" s="65"/>
      <c r="BW12" s="45"/>
      <c r="BX12" s="125"/>
      <c r="BY12" s="39"/>
      <c r="BZ12" s="41"/>
      <c r="CA12" s="42"/>
      <c r="CB12" s="39"/>
      <c r="CC12" s="41"/>
      <c r="CD12" s="42"/>
    </row>
    <row r="13" spans="1:82" x14ac:dyDescent="0.25">
      <c r="A13" s="46">
        <v>2</v>
      </c>
      <c r="B13" s="47" t="s">
        <v>25</v>
      </c>
      <c r="C13" s="48" t="s">
        <v>26</v>
      </c>
      <c r="D13" s="49">
        <v>140</v>
      </c>
      <c r="E13" s="50">
        <v>2</v>
      </c>
      <c r="F13" s="51">
        <v>53323.589624266853</v>
      </c>
      <c r="G13" s="46">
        <v>508</v>
      </c>
      <c r="H13" s="50">
        <v>5</v>
      </c>
      <c r="I13" s="50">
        <v>300933.64</v>
      </c>
      <c r="J13" s="50"/>
      <c r="K13" s="91"/>
      <c r="L13" s="3"/>
      <c r="M13" s="21"/>
      <c r="P13" s="52"/>
      <c r="Q13" s="49"/>
      <c r="R13" s="50"/>
      <c r="S13" s="126"/>
      <c r="T13" s="46"/>
      <c r="U13" s="50"/>
      <c r="V13" s="52"/>
      <c r="W13" s="49"/>
      <c r="X13" s="50"/>
      <c r="Y13" s="126"/>
      <c r="Z13" s="46"/>
      <c r="AA13" s="50"/>
      <c r="AB13" s="52"/>
      <c r="AC13" s="46"/>
      <c r="AD13" s="50"/>
      <c r="AE13" s="52"/>
      <c r="AF13" s="46"/>
      <c r="AG13" s="50"/>
      <c r="AH13" s="52"/>
      <c r="AI13" s="49"/>
      <c r="AJ13" s="50"/>
      <c r="AK13" s="126"/>
      <c r="AL13" s="46"/>
      <c r="AM13" s="50"/>
      <c r="AN13" s="126"/>
      <c r="AO13" s="46"/>
      <c r="AP13" s="50"/>
      <c r="AQ13" s="52"/>
      <c r="AR13" s="46">
        <f>203</f>
        <v>203</v>
      </c>
      <c r="AS13" s="50">
        <v>1</v>
      </c>
      <c r="AT13" s="52">
        <f>123214.04</f>
        <v>123214.04</v>
      </c>
      <c r="AU13" s="46"/>
      <c r="AV13" s="50"/>
      <c r="AW13" s="52"/>
      <c r="AX13" s="46"/>
      <c r="AY13" s="50"/>
      <c r="AZ13" s="126"/>
      <c r="BA13" s="46">
        <v>161</v>
      </c>
      <c r="BB13" s="50">
        <v>1</v>
      </c>
      <c r="BC13" s="52">
        <f>28316.85+72941.85</f>
        <v>101258.70000000001</v>
      </c>
      <c r="BD13" s="49"/>
      <c r="BE13" s="50"/>
      <c r="BF13" s="126"/>
      <c r="BG13" s="46">
        <v>25</v>
      </c>
      <c r="BH13" s="50">
        <v>1</v>
      </c>
      <c r="BI13" s="52">
        <f>15927.61</f>
        <v>15927.61</v>
      </c>
      <c r="BJ13" s="49"/>
      <c r="BK13" s="50"/>
      <c r="BL13" s="126"/>
      <c r="BM13" s="46">
        <f>70</f>
        <v>70</v>
      </c>
      <c r="BN13" s="50">
        <v>1</v>
      </c>
      <c r="BO13" s="52">
        <f>44494.71</f>
        <v>44494.71</v>
      </c>
      <c r="BP13" s="46"/>
      <c r="BQ13" s="50"/>
      <c r="BR13" s="52"/>
      <c r="BS13" s="46"/>
      <c r="BT13" s="50"/>
      <c r="BU13" s="52"/>
      <c r="BV13" s="49"/>
      <c r="BW13" s="50"/>
      <c r="BX13" s="126"/>
      <c r="BY13" s="46"/>
      <c r="BZ13" s="50"/>
      <c r="CA13" s="52"/>
      <c r="CB13" s="46">
        <v>49</v>
      </c>
      <c r="CC13" s="50">
        <v>1</v>
      </c>
      <c r="CD13" s="52">
        <f>16038.58</f>
        <v>16038.58</v>
      </c>
    </row>
    <row r="14" spans="1:82" x14ac:dyDescent="0.25">
      <c r="A14" s="46">
        <v>3</v>
      </c>
      <c r="B14" s="47" t="s">
        <v>27</v>
      </c>
      <c r="C14" s="48" t="s">
        <v>26</v>
      </c>
      <c r="D14" s="50">
        <v>1084</v>
      </c>
      <c r="E14" s="50">
        <v>8</v>
      </c>
      <c r="F14" s="51">
        <v>354327.3850521014</v>
      </c>
      <c r="G14" s="46">
        <v>0</v>
      </c>
      <c r="H14" s="50">
        <v>0</v>
      </c>
      <c r="I14" s="50">
        <v>0</v>
      </c>
      <c r="J14" s="50"/>
      <c r="K14" s="46"/>
      <c r="L14" s="50"/>
      <c r="M14" s="52"/>
      <c r="N14" s="49"/>
      <c r="O14" s="50"/>
      <c r="P14" s="52"/>
      <c r="Q14" s="49"/>
      <c r="R14" s="50"/>
      <c r="S14" s="126"/>
      <c r="T14" s="46"/>
      <c r="U14" s="50"/>
      <c r="V14" s="52"/>
      <c r="W14" s="49"/>
      <c r="X14" s="50"/>
      <c r="Y14" s="126"/>
      <c r="Z14" s="46"/>
      <c r="AA14" s="50"/>
      <c r="AB14" s="52"/>
      <c r="AC14" s="46"/>
      <c r="AD14" s="50"/>
      <c r="AE14" s="52"/>
      <c r="AF14" s="46"/>
      <c r="AG14" s="50"/>
      <c r="AH14" s="52"/>
      <c r="AI14" s="49"/>
      <c r="AJ14" s="50"/>
      <c r="AK14" s="126"/>
      <c r="AL14" s="46"/>
      <c r="AM14" s="50"/>
      <c r="AN14" s="126"/>
      <c r="AO14" s="46"/>
      <c r="AP14" s="50"/>
      <c r="AQ14" s="52"/>
      <c r="AR14" s="46"/>
      <c r="AS14" s="50"/>
      <c r="AT14" s="52"/>
      <c r="AU14" s="46"/>
      <c r="AV14" s="50"/>
      <c r="AW14" s="52"/>
      <c r="AX14" s="46"/>
      <c r="AY14" s="50"/>
      <c r="AZ14" s="126"/>
      <c r="BA14" s="46"/>
      <c r="BB14" s="50"/>
      <c r="BC14" s="52"/>
      <c r="BD14" s="49"/>
      <c r="BE14" s="50"/>
      <c r="BF14" s="126"/>
      <c r="BG14" s="46"/>
      <c r="BH14" s="50"/>
      <c r="BI14" s="52"/>
      <c r="BJ14" s="49"/>
      <c r="BK14" s="50"/>
      <c r="BL14" s="126"/>
      <c r="BM14" s="46"/>
      <c r="BN14" s="50"/>
      <c r="BO14" s="52"/>
      <c r="BP14" s="46"/>
      <c r="BQ14" s="50"/>
      <c r="BR14" s="52"/>
      <c r="BS14" s="46"/>
      <c r="BT14" s="50"/>
      <c r="BU14" s="52"/>
      <c r="BV14" s="49"/>
      <c r="BW14" s="50"/>
      <c r="BX14" s="126"/>
      <c r="BY14" s="46"/>
      <c r="BZ14" s="50"/>
      <c r="CA14" s="52"/>
      <c r="CB14" s="46"/>
      <c r="CC14" s="50"/>
      <c r="CD14" s="52"/>
    </row>
    <row r="15" spans="1:82" x14ac:dyDescent="0.25">
      <c r="A15" s="46">
        <v>4</v>
      </c>
      <c r="B15" s="47" t="s">
        <v>28</v>
      </c>
      <c r="C15" s="48" t="s">
        <v>29</v>
      </c>
      <c r="D15" s="50"/>
      <c r="E15" s="50"/>
      <c r="F15" s="51">
        <v>0</v>
      </c>
      <c r="G15" s="46">
        <v>2</v>
      </c>
      <c r="H15" s="50">
        <v>2</v>
      </c>
      <c r="I15" s="50">
        <v>4542</v>
      </c>
      <c r="J15" s="50"/>
      <c r="K15" s="46"/>
      <c r="L15" s="50"/>
      <c r="M15" s="52"/>
      <c r="N15" s="49"/>
      <c r="O15" s="50"/>
      <c r="P15" s="52"/>
      <c r="Q15" s="49"/>
      <c r="R15" s="50"/>
      <c r="S15" s="126"/>
      <c r="T15" s="46"/>
      <c r="U15" s="50"/>
      <c r="V15" s="52"/>
      <c r="W15" s="49"/>
      <c r="X15" s="50"/>
      <c r="Y15" s="126"/>
      <c r="Z15" s="46"/>
      <c r="AA15" s="50"/>
      <c r="AB15" s="52"/>
      <c r="AC15" s="46"/>
      <c r="AD15" s="50"/>
      <c r="AE15" s="52"/>
      <c r="AF15" s="46"/>
      <c r="AG15" s="50"/>
      <c r="AH15" s="52"/>
      <c r="AI15" s="49"/>
      <c r="AJ15" s="50"/>
      <c r="AK15" s="126"/>
      <c r="AL15" s="46"/>
      <c r="AM15" s="50"/>
      <c r="AN15" s="126"/>
      <c r="AO15" s="46"/>
      <c r="AP15" s="50"/>
      <c r="AQ15" s="52"/>
      <c r="AR15" s="46">
        <f>1</f>
        <v>1</v>
      </c>
      <c r="AS15" s="50">
        <v>1</v>
      </c>
      <c r="AT15" s="52">
        <f>2271</f>
        <v>2271</v>
      </c>
      <c r="AU15" s="46"/>
      <c r="AV15" s="50"/>
      <c r="AW15" s="52"/>
      <c r="AX15" s="46"/>
      <c r="AY15" s="50"/>
      <c r="AZ15" s="126"/>
      <c r="BA15" s="46"/>
      <c r="BB15" s="50"/>
      <c r="BC15" s="52"/>
      <c r="BD15" s="49">
        <v>1</v>
      </c>
      <c r="BE15" s="50">
        <v>1</v>
      </c>
      <c r="BF15" s="126">
        <f>2271</f>
        <v>2271</v>
      </c>
      <c r="BG15" s="46"/>
      <c r="BH15" s="50"/>
      <c r="BI15" s="52"/>
      <c r="BJ15" s="49"/>
      <c r="BK15" s="50"/>
      <c r="BL15" s="126"/>
      <c r="BM15" s="46"/>
      <c r="BN15" s="50"/>
      <c r="BO15" s="52"/>
      <c r="BP15" s="46"/>
      <c r="BQ15" s="50"/>
      <c r="BR15" s="52"/>
      <c r="BS15" s="46"/>
      <c r="BT15" s="50"/>
      <c r="BU15" s="52"/>
      <c r="BV15" s="49"/>
      <c r="BW15" s="50"/>
      <c r="BX15" s="126"/>
      <c r="BY15" s="46"/>
      <c r="BZ15" s="50"/>
      <c r="CA15" s="52"/>
      <c r="CB15" s="46"/>
      <c r="CC15" s="50"/>
      <c r="CD15" s="52"/>
    </row>
    <row r="16" spans="1:82" x14ac:dyDescent="0.25">
      <c r="A16" s="46">
        <v>5</v>
      </c>
      <c r="B16" s="47" t="s">
        <v>30</v>
      </c>
      <c r="C16" s="48"/>
      <c r="D16" s="50"/>
      <c r="E16" s="50"/>
      <c r="F16" s="51">
        <v>0</v>
      </c>
      <c r="G16" s="46">
        <v>12</v>
      </c>
      <c r="H16" s="50">
        <v>1</v>
      </c>
      <c r="I16" s="50">
        <v>14724.95</v>
      </c>
      <c r="J16" s="50"/>
      <c r="K16" s="46"/>
      <c r="L16" s="50"/>
      <c r="M16" s="52"/>
      <c r="N16" s="49"/>
      <c r="O16" s="50"/>
      <c r="P16" s="52"/>
      <c r="Q16" s="49"/>
      <c r="R16" s="50"/>
      <c r="S16" s="126"/>
      <c r="T16" s="46"/>
      <c r="U16" s="50"/>
      <c r="V16" s="52"/>
      <c r="W16" s="49"/>
      <c r="X16" s="50"/>
      <c r="Y16" s="126"/>
      <c r="Z16" s="46"/>
      <c r="AA16" s="50"/>
      <c r="AB16" s="52"/>
      <c r="AC16" s="46"/>
      <c r="AD16" s="50"/>
      <c r="AE16" s="52"/>
      <c r="AF16" s="46"/>
      <c r="AG16" s="50"/>
      <c r="AH16" s="52"/>
      <c r="AI16" s="49"/>
      <c r="AJ16" s="50"/>
      <c r="AK16" s="126"/>
      <c r="AL16" s="46"/>
      <c r="AM16" s="50"/>
      <c r="AN16" s="126"/>
      <c r="AO16" s="46"/>
      <c r="AP16" s="50"/>
      <c r="AQ16" s="52"/>
      <c r="AR16" s="46"/>
      <c r="AS16" s="50"/>
      <c r="AT16" s="52"/>
      <c r="AU16" s="46"/>
      <c r="AV16" s="50"/>
      <c r="AW16" s="52"/>
      <c r="AX16" s="46">
        <v>12</v>
      </c>
      <c r="AY16" s="50">
        <v>1</v>
      </c>
      <c r="AZ16" s="126">
        <f>14724.95</f>
        <v>14724.95</v>
      </c>
      <c r="BA16" s="46"/>
      <c r="BB16" s="50"/>
      <c r="BC16" s="52"/>
      <c r="BD16" s="49"/>
      <c r="BE16" s="50"/>
      <c r="BF16" s="126"/>
      <c r="BG16" s="46"/>
      <c r="BH16" s="50"/>
      <c r="BI16" s="52"/>
      <c r="BJ16" s="49"/>
      <c r="BK16" s="50"/>
      <c r="BL16" s="126"/>
      <c r="BM16" s="46"/>
      <c r="BN16" s="50"/>
      <c r="BO16" s="52"/>
      <c r="BP16" s="46"/>
      <c r="BQ16" s="50"/>
      <c r="BR16" s="52"/>
      <c r="BS16" s="46"/>
      <c r="BT16" s="50"/>
      <c r="BU16" s="52"/>
      <c r="BV16" s="49"/>
      <c r="BW16" s="50"/>
      <c r="BX16" s="126"/>
      <c r="BY16" s="46"/>
      <c r="BZ16" s="50"/>
      <c r="CA16" s="52"/>
      <c r="CB16" s="46"/>
      <c r="CC16" s="50"/>
      <c r="CD16" s="52"/>
    </row>
    <row r="17" spans="1:82" x14ac:dyDescent="0.25">
      <c r="A17" s="46">
        <v>6</v>
      </c>
      <c r="B17" s="53" t="s">
        <v>31</v>
      </c>
      <c r="C17" s="48" t="s">
        <v>26</v>
      </c>
      <c r="D17" s="50">
        <v>1140</v>
      </c>
      <c r="E17" s="50">
        <v>16</v>
      </c>
      <c r="F17" s="51">
        <v>501789.48052101949</v>
      </c>
      <c r="G17" s="46">
        <v>1626</v>
      </c>
      <c r="H17" s="50">
        <v>9</v>
      </c>
      <c r="I17" s="50">
        <v>780792.48</v>
      </c>
      <c r="J17" s="50"/>
      <c r="K17" s="46"/>
      <c r="L17" s="50"/>
      <c r="M17" s="52"/>
      <c r="N17" s="49"/>
      <c r="O17" s="50"/>
      <c r="P17" s="52"/>
      <c r="Q17" s="49"/>
      <c r="R17" s="50"/>
      <c r="S17" s="126"/>
      <c r="T17" s="46"/>
      <c r="U17" s="50"/>
      <c r="V17" s="52"/>
      <c r="W17" s="49"/>
      <c r="X17" s="50"/>
      <c r="Y17" s="126"/>
      <c r="Z17" s="46">
        <f>240</f>
        <v>240</v>
      </c>
      <c r="AA17" s="50">
        <v>1</v>
      </c>
      <c r="AB17" s="52">
        <f>114206.38</f>
        <v>114206.38</v>
      </c>
      <c r="AC17" s="46"/>
      <c r="AD17" s="50"/>
      <c r="AE17" s="52"/>
      <c r="AF17" s="46">
        <f>150</f>
        <v>150</v>
      </c>
      <c r="AG17" s="50">
        <v>1</v>
      </c>
      <c r="AH17" s="52">
        <f>72577.95</f>
        <v>72577.95</v>
      </c>
      <c r="AI17" s="49">
        <f>400</f>
        <v>400</v>
      </c>
      <c r="AJ17" s="50">
        <v>1</v>
      </c>
      <c r="AK17" s="126">
        <f>192934.7</f>
        <v>192934.7</v>
      </c>
      <c r="AL17" s="46">
        <f>230+50+20</f>
        <v>300</v>
      </c>
      <c r="AM17" s="50">
        <v>1</v>
      </c>
      <c r="AN17" s="126">
        <f>111178.37+21935.11+8392.17</f>
        <v>141505.65</v>
      </c>
      <c r="AO17" s="46">
        <f>30+290</f>
        <v>320</v>
      </c>
      <c r="AP17" s="50">
        <v>1</v>
      </c>
      <c r="AQ17" s="52">
        <f>16429.43+142869.17</f>
        <v>159298.6</v>
      </c>
      <c r="AR17" s="46">
        <f>65</f>
        <v>65</v>
      </c>
      <c r="AS17" s="50">
        <v>1</v>
      </c>
      <c r="AT17" s="52">
        <f>26591.69</f>
        <v>26591.69</v>
      </c>
      <c r="AU17" s="46"/>
      <c r="AV17" s="50"/>
      <c r="AW17" s="52"/>
      <c r="AX17" s="46"/>
      <c r="AY17" s="50"/>
      <c r="AZ17" s="126"/>
      <c r="BA17" s="46"/>
      <c r="BB17" s="50"/>
      <c r="BC17" s="52"/>
      <c r="BD17" s="49"/>
      <c r="BE17" s="50"/>
      <c r="BF17" s="126"/>
      <c r="BG17" s="46">
        <v>15</v>
      </c>
      <c r="BH17" s="50">
        <v>1</v>
      </c>
      <c r="BI17" s="52">
        <f>9491.74</f>
        <v>9491.74</v>
      </c>
      <c r="BJ17" s="49"/>
      <c r="BK17" s="50"/>
      <c r="BL17" s="126"/>
      <c r="BM17" s="46">
        <v>100</v>
      </c>
      <c r="BN17" s="50">
        <v>1</v>
      </c>
      <c r="BO17" s="52">
        <f>47733.87</f>
        <v>47733.87</v>
      </c>
      <c r="BP17" s="46"/>
      <c r="BQ17" s="50"/>
      <c r="BR17" s="52"/>
      <c r="BS17" s="46"/>
      <c r="BT17" s="50"/>
      <c r="BU17" s="52"/>
      <c r="BV17" s="49">
        <v>36</v>
      </c>
      <c r="BW17" s="50">
        <v>1</v>
      </c>
      <c r="BX17" s="126">
        <f>16451.9</f>
        <v>16451.900000000001</v>
      </c>
      <c r="BY17" s="46"/>
      <c r="BZ17" s="50"/>
      <c r="CA17" s="52"/>
      <c r="CB17" s="46"/>
      <c r="CC17" s="50"/>
      <c r="CD17" s="52"/>
    </row>
    <row r="18" spans="1:82" x14ac:dyDescent="0.25">
      <c r="A18" s="46">
        <v>7</v>
      </c>
      <c r="B18" s="47" t="s">
        <v>32</v>
      </c>
      <c r="C18" s="48" t="s">
        <v>33</v>
      </c>
      <c r="D18" s="50"/>
      <c r="E18" s="50"/>
      <c r="F18" s="51">
        <v>0</v>
      </c>
      <c r="G18" s="46">
        <v>327</v>
      </c>
      <c r="H18" s="50">
        <v>5</v>
      </c>
      <c r="I18" s="50">
        <v>173659.71</v>
      </c>
      <c r="J18" s="50"/>
      <c r="K18" s="46"/>
      <c r="L18" s="45"/>
      <c r="M18" s="66"/>
      <c r="N18" s="49"/>
      <c r="O18" s="50"/>
      <c r="P18" s="52"/>
      <c r="Q18" s="49"/>
      <c r="R18" s="50"/>
      <c r="S18" s="126"/>
      <c r="T18" s="46"/>
      <c r="U18" s="50"/>
      <c r="V18" s="52"/>
      <c r="W18" s="49">
        <v>1</v>
      </c>
      <c r="X18" s="50">
        <v>1</v>
      </c>
      <c r="Y18" s="126">
        <f>14167.86</f>
        <v>14167.86</v>
      </c>
      <c r="Z18" s="46">
        <f>2</f>
        <v>2</v>
      </c>
      <c r="AA18" s="50">
        <v>1</v>
      </c>
      <c r="AB18" s="52">
        <f>1015.35</f>
        <v>1015.35</v>
      </c>
      <c r="AC18" s="46">
        <f>2</f>
        <v>2</v>
      </c>
      <c r="AD18" s="50">
        <v>1</v>
      </c>
      <c r="AE18" s="52">
        <f>1015.35</f>
        <v>1015.35</v>
      </c>
      <c r="AF18" s="46"/>
      <c r="AG18" s="50"/>
      <c r="AH18" s="52"/>
      <c r="AI18" s="49"/>
      <c r="AJ18" s="50"/>
      <c r="AK18" s="126"/>
      <c r="AL18" s="46"/>
      <c r="AM18" s="50"/>
      <c r="AN18" s="126"/>
      <c r="AO18" s="46"/>
      <c r="AP18" s="50"/>
      <c r="AQ18" s="52"/>
      <c r="AR18" s="46">
        <f>320</f>
        <v>320</v>
      </c>
      <c r="AS18" s="50">
        <v>1</v>
      </c>
      <c r="AT18" s="52">
        <f>156445.8</f>
        <v>156445.79999999999</v>
      </c>
      <c r="AU18" s="46"/>
      <c r="AV18" s="50"/>
      <c r="AW18" s="52"/>
      <c r="AX18" s="46"/>
      <c r="AY18" s="50"/>
      <c r="AZ18" s="126"/>
      <c r="BA18" s="46"/>
      <c r="BB18" s="50"/>
      <c r="BC18" s="52"/>
      <c r="BD18" s="49">
        <f>2</f>
        <v>2</v>
      </c>
      <c r="BE18" s="50">
        <v>1</v>
      </c>
      <c r="BF18" s="126">
        <f>1015.35</f>
        <v>1015.35</v>
      </c>
      <c r="BG18" s="46"/>
      <c r="BH18" s="50"/>
      <c r="BI18" s="52"/>
      <c r="BJ18" s="49"/>
      <c r="BK18" s="50"/>
      <c r="BL18" s="126"/>
      <c r="BM18" s="46"/>
      <c r="BN18" s="50"/>
      <c r="BO18" s="52"/>
      <c r="BP18" s="46"/>
      <c r="BQ18" s="50"/>
      <c r="BR18" s="52"/>
      <c r="BS18" s="46"/>
      <c r="BT18" s="50"/>
      <c r="BU18" s="52"/>
      <c r="BV18" s="49"/>
      <c r="BW18" s="50"/>
      <c r="BX18" s="126"/>
      <c r="BY18" s="46"/>
      <c r="BZ18" s="50"/>
      <c r="CA18" s="52"/>
      <c r="CB18" s="46"/>
      <c r="CC18" s="50"/>
      <c r="CD18" s="52"/>
    </row>
    <row r="19" spans="1:82" x14ac:dyDescent="0.25">
      <c r="A19" s="46">
        <v>8</v>
      </c>
      <c r="B19" s="47" t="s">
        <v>34</v>
      </c>
      <c r="C19" s="48"/>
      <c r="D19" s="50"/>
      <c r="E19" s="50"/>
      <c r="F19" s="51">
        <v>0</v>
      </c>
      <c r="G19" s="46">
        <v>0</v>
      </c>
      <c r="H19" s="50">
        <v>0</v>
      </c>
      <c r="I19" s="50">
        <v>0</v>
      </c>
      <c r="J19" s="50"/>
      <c r="K19" s="46"/>
      <c r="L19" s="50"/>
      <c r="M19" s="52"/>
      <c r="N19" s="49"/>
      <c r="O19" s="50"/>
      <c r="P19" s="52"/>
      <c r="Q19" s="49"/>
      <c r="R19" s="50"/>
      <c r="S19" s="126"/>
      <c r="T19" s="46"/>
      <c r="U19" s="50"/>
      <c r="V19" s="52"/>
      <c r="W19" s="49"/>
      <c r="X19" s="50"/>
      <c r="Y19" s="126"/>
      <c r="Z19" s="46"/>
      <c r="AA19" s="50"/>
      <c r="AB19" s="52"/>
      <c r="AC19" s="46"/>
      <c r="AD19" s="50"/>
      <c r="AE19" s="52"/>
      <c r="AF19" s="46"/>
      <c r="AG19" s="50"/>
      <c r="AH19" s="52"/>
      <c r="AI19" s="49"/>
      <c r="AJ19" s="50"/>
      <c r="AK19" s="126"/>
      <c r="AL19" s="46"/>
      <c r="AM19" s="50"/>
      <c r="AN19" s="126"/>
      <c r="AO19" s="46"/>
      <c r="AP19" s="50"/>
      <c r="AQ19" s="52"/>
      <c r="AR19" s="46"/>
      <c r="AS19" s="50"/>
      <c r="AT19" s="52"/>
      <c r="AU19" s="46"/>
      <c r="AV19" s="50"/>
      <c r="AW19" s="52"/>
      <c r="AX19" s="46"/>
      <c r="AY19" s="50"/>
      <c r="AZ19" s="126"/>
      <c r="BA19" s="46"/>
      <c r="BB19" s="50"/>
      <c r="BC19" s="52"/>
      <c r="BD19" s="49"/>
      <c r="BE19" s="50"/>
      <c r="BF19" s="126"/>
      <c r="BG19" s="46"/>
      <c r="BH19" s="50"/>
      <c r="BI19" s="52"/>
      <c r="BJ19" s="49"/>
      <c r="BK19" s="50"/>
      <c r="BL19" s="126"/>
      <c r="BM19" s="46"/>
      <c r="BN19" s="50"/>
      <c r="BO19" s="52"/>
      <c r="BP19" s="46"/>
      <c r="BQ19" s="50"/>
      <c r="BR19" s="52"/>
      <c r="BS19" s="46"/>
      <c r="BT19" s="50"/>
      <c r="BU19" s="52"/>
      <c r="BV19" s="49"/>
      <c r="BW19" s="50"/>
      <c r="BX19" s="126"/>
      <c r="BY19" s="46"/>
      <c r="BZ19" s="50"/>
      <c r="CA19" s="52"/>
      <c r="CB19" s="46"/>
      <c r="CC19" s="50"/>
      <c r="CD19" s="52"/>
    </row>
    <row r="20" spans="1:82" ht="51.75" customHeight="1" x14ac:dyDescent="0.25">
      <c r="A20" s="46">
        <v>9</v>
      </c>
      <c r="B20" s="144" t="s">
        <v>35</v>
      </c>
      <c r="C20" s="48" t="s">
        <v>33</v>
      </c>
      <c r="D20" s="50"/>
      <c r="E20" s="50"/>
      <c r="F20" s="55">
        <v>0</v>
      </c>
      <c r="G20" s="56">
        <v>7</v>
      </c>
      <c r="H20" s="57">
        <v>11</v>
      </c>
      <c r="I20" s="50">
        <v>49872.350000000006</v>
      </c>
      <c r="J20" s="50"/>
      <c r="K20" s="46"/>
      <c r="L20" s="50"/>
      <c r="M20" s="52"/>
      <c r="N20" s="49"/>
      <c r="O20" s="50"/>
      <c r="P20" s="52"/>
      <c r="Q20" s="49"/>
      <c r="R20" s="50"/>
      <c r="S20" s="126"/>
      <c r="T20" s="46"/>
      <c r="U20" s="50"/>
      <c r="V20" s="52"/>
      <c r="W20" s="49"/>
      <c r="X20" s="50"/>
      <c r="Y20" s="126"/>
      <c r="Z20" s="46"/>
      <c r="AA20" s="50"/>
      <c r="AB20" s="52"/>
      <c r="AC20" s="46"/>
      <c r="AD20" s="50">
        <v>1</v>
      </c>
      <c r="AE20" s="52">
        <f>2133.98</f>
        <v>2133.98</v>
      </c>
      <c r="AF20" s="46"/>
      <c r="AG20" s="50"/>
      <c r="AH20" s="52"/>
      <c r="AI20" s="49"/>
      <c r="AJ20" s="50"/>
      <c r="AK20" s="126"/>
      <c r="AL20" s="46"/>
      <c r="AM20" s="50">
        <v>1</v>
      </c>
      <c r="AN20" s="126">
        <f>323.47</f>
        <v>323.47000000000003</v>
      </c>
      <c r="AO20" s="46"/>
      <c r="AP20" s="50">
        <v>1</v>
      </c>
      <c r="AQ20" s="52">
        <f>323.47</f>
        <v>323.47000000000003</v>
      </c>
      <c r="AR20" s="46"/>
      <c r="AS20" s="50">
        <v>1</v>
      </c>
      <c r="AT20" s="126">
        <f>323.47</f>
        <v>323.47000000000003</v>
      </c>
      <c r="AU20" s="46"/>
      <c r="AV20" s="50"/>
      <c r="AW20" s="145"/>
      <c r="AX20" s="46"/>
      <c r="AY20" s="50"/>
      <c r="AZ20" s="146"/>
      <c r="BA20" s="46">
        <v>2</v>
      </c>
      <c r="BB20" s="50">
        <v>1</v>
      </c>
      <c r="BC20" s="61">
        <f>7736.25</f>
        <v>7736.25</v>
      </c>
      <c r="BD20" s="49"/>
      <c r="BE20" s="50">
        <v>1</v>
      </c>
      <c r="BF20" s="52">
        <f>323.47</f>
        <v>323.47000000000003</v>
      </c>
      <c r="BG20" s="46">
        <v>1</v>
      </c>
      <c r="BH20" s="50">
        <v>1</v>
      </c>
      <c r="BI20" s="59">
        <f>22265.32</f>
        <v>22265.32</v>
      </c>
      <c r="BJ20" s="49"/>
      <c r="BK20" s="50">
        <v>1</v>
      </c>
      <c r="BL20" s="52">
        <f>323.47</f>
        <v>323.47000000000003</v>
      </c>
      <c r="BM20" s="46"/>
      <c r="BN20" s="50"/>
      <c r="BO20" s="52"/>
      <c r="BP20" s="46">
        <v>4</v>
      </c>
      <c r="BQ20" s="50">
        <v>1</v>
      </c>
      <c r="BR20" s="52">
        <f>15472.51</f>
        <v>15472.51</v>
      </c>
      <c r="BS20" s="46"/>
      <c r="BT20" s="50"/>
      <c r="BU20" s="52"/>
      <c r="BV20" s="49"/>
      <c r="BW20" s="50"/>
      <c r="BX20" s="52"/>
      <c r="BY20" s="46"/>
      <c r="BZ20" s="50">
        <v>1</v>
      </c>
      <c r="CA20" s="52">
        <f>323.47</f>
        <v>323.47000000000003</v>
      </c>
      <c r="CB20" s="46"/>
      <c r="CC20" s="50">
        <v>1</v>
      </c>
      <c r="CD20" s="52">
        <f>323.47</f>
        <v>323.47000000000003</v>
      </c>
    </row>
    <row r="21" spans="1:82" x14ac:dyDescent="0.25">
      <c r="A21" s="62">
        <v>10</v>
      </c>
      <c r="B21" s="63" t="s">
        <v>36</v>
      </c>
      <c r="C21" s="64"/>
      <c r="D21" s="45"/>
      <c r="E21" s="45"/>
      <c r="F21" s="51">
        <v>0</v>
      </c>
      <c r="G21" s="46">
        <v>0</v>
      </c>
      <c r="H21" s="50">
        <v>0</v>
      </c>
      <c r="I21" s="57">
        <v>0</v>
      </c>
      <c r="J21" s="58"/>
      <c r="K21" s="46"/>
      <c r="L21" s="50"/>
      <c r="M21" s="52"/>
      <c r="N21" s="147"/>
      <c r="O21" s="50"/>
      <c r="P21" s="66"/>
      <c r="Q21" s="65"/>
      <c r="R21" s="45"/>
      <c r="S21" s="125"/>
      <c r="T21" s="62"/>
      <c r="U21" s="45"/>
      <c r="V21" s="66"/>
      <c r="W21" s="65"/>
      <c r="X21" s="45"/>
      <c r="Y21" s="125"/>
      <c r="Z21" s="62"/>
      <c r="AA21" s="45"/>
      <c r="AB21" s="66"/>
      <c r="AC21" s="62"/>
      <c r="AD21" s="45"/>
      <c r="AE21" s="66"/>
      <c r="AF21" s="62"/>
      <c r="AG21" s="45"/>
      <c r="AH21" s="66"/>
      <c r="AI21" s="65"/>
      <c r="AJ21" s="45"/>
      <c r="AK21" s="125"/>
      <c r="AL21" s="62"/>
      <c r="AM21" s="45"/>
      <c r="AN21" s="125"/>
      <c r="AO21" s="62"/>
      <c r="AP21" s="45"/>
      <c r="AQ21" s="66"/>
      <c r="AR21" s="62"/>
      <c r="AS21" s="45"/>
      <c r="AT21" s="66"/>
      <c r="AU21" s="62"/>
      <c r="AV21" s="45"/>
      <c r="AW21" s="66"/>
      <c r="AX21" s="62"/>
      <c r="AY21" s="45"/>
      <c r="AZ21" s="125"/>
      <c r="BA21" s="62"/>
      <c r="BB21" s="45"/>
      <c r="BC21" s="66"/>
      <c r="BD21" s="65"/>
      <c r="BE21" s="45"/>
      <c r="BF21" s="125"/>
      <c r="BG21" s="62"/>
      <c r="BH21" s="45"/>
      <c r="BI21" s="66"/>
      <c r="BJ21" s="65"/>
      <c r="BK21" s="45"/>
      <c r="BL21" s="125"/>
      <c r="BM21" s="62"/>
      <c r="BN21" s="45"/>
      <c r="BO21" s="66"/>
      <c r="BP21" s="62"/>
      <c r="BQ21" s="45"/>
      <c r="BR21" s="66"/>
      <c r="BS21" s="62"/>
      <c r="BT21" s="45"/>
      <c r="BU21" s="66"/>
      <c r="BV21" s="65"/>
      <c r="BW21" s="45"/>
      <c r="BX21" s="125"/>
      <c r="BY21" s="62"/>
      <c r="BZ21" s="45"/>
      <c r="CA21" s="66"/>
      <c r="CB21" s="62"/>
      <c r="CC21" s="45"/>
      <c r="CD21" s="66"/>
    </row>
    <row r="22" spans="1:82" x14ac:dyDescent="0.25">
      <c r="A22" s="46">
        <v>11</v>
      </c>
      <c r="B22" s="47" t="s">
        <v>37</v>
      </c>
      <c r="C22" s="48" t="s">
        <v>38</v>
      </c>
      <c r="D22" s="50">
        <v>14</v>
      </c>
      <c r="E22" s="50">
        <v>3</v>
      </c>
      <c r="F22" s="51">
        <v>327128.29517040384</v>
      </c>
      <c r="G22" s="46">
        <v>12</v>
      </c>
      <c r="H22" s="50">
        <v>3</v>
      </c>
      <c r="I22" s="50">
        <v>129088.1</v>
      </c>
      <c r="J22" s="50"/>
      <c r="K22" s="62"/>
      <c r="L22" s="45"/>
      <c r="M22" s="66"/>
      <c r="N22" s="65"/>
      <c r="O22" s="45"/>
      <c r="P22" s="52"/>
      <c r="Q22" s="49">
        <f>3+1</f>
        <v>4</v>
      </c>
      <c r="R22" s="50">
        <v>1</v>
      </c>
      <c r="S22" s="126">
        <f>27654.19+20621.03</f>
        <v>48275.22</v>
      </c>
      <c r="T22" s="46">
        <v>4</v>
      </c>
      <c r="U22" s="50">
        <v>1</v>
      </c>
      <c r="V22" s="52">
        <f>37457.05</f>
        <v>37457.050000000003</v>
      </c>
      <c r="W22" s="49"/>
      <c r="X22" s="50"/>
      <c r="Y22" s="126"/>
      <c r="Z22" s="46"/>
      <c r="AA22" s="50"/>
      <c r="AB22" s="52"/>
      <c r="AC22" s="46"/>
      <c r="AD22" s="50"/>
      <c r="AE22" s="52"/>
      <c r="AF22" s="46"/>
      <c r="AG22" s="50"/>
      <c r="AH22" s="52"/>
      <c r="AI22" s="49"/>
      <c r="AJ22" s="50"/>
      <c r="AK22" s="126"/>
      <c r="AL22" s="46"/>
      <c r="AM22" s="50"/>
      <c r="AN22" s="126"/>
      <c r="AO22" s="46"/>
      <c r="AP22" s="50"/>
      <c r="AQ22" s="52"/>
      <c r="AR22" s="46"/>
      <c r="AS22" s="50"/>
      <c r="AT22" s="52"/>
      <c r="AU22" s="46"/>
      <c r="AV22" s="50"/>
      <c r="AW22" s="52"/>
      <c r="AX22" s="46"/>
      <c r="AY22" s="50"/>
      <c r="AZ22" s="126"/>
      <c r="BA22" s="46"/>
      <c r="BB22" s="50"/>
      <c r="BC22" s="52"/>
      <c r="BD22" s="49"/>
      <c r="BE22" s="50"/>
      <c r="BF22" s="126"/>
      <c r="BG22" s="46"/>
      <c r="BH22" s="50"/>
      <c r="BI22" s="52"/>
      <c r="BJ22" s="49"/>
      <c r="BK22" s="50"/>
      <c r="BL22" s="126"/>
      <c r="BM22" s="46">
        <v>4</v>
      </c>
      <c r="BN22" s="50">
        <v>1</v>
      </c>
      <c r="BO22" s="52">
        <f>43355.83</f>
        <v>43355.83</v>
      </c>
      <c r="BP22" s="46"/>
      <c r="BQ22" s="50"/>
      <c r="BR22" s="52"/>
      <c r="BS22" s="46"/>
      <c r="BT22" s="50"/>
      <c r="BU22" s="52"/>
      <c r="BV22" s="49"/>
      <c r="BW22" s="50"/>
      <c r="BX22" s="126"/>
      <c r="BY22" s="46"/>
      <c r="BZ22" s="50"/>
      <c r="CA22" s="52"/>
      <c r="CB22" s="46"/>
      <c r="CC22" s="50"/>
      <c r="CD22" s="52"/>
    </row>
    <row r="23" spans="1:82" x14ac:dyDescent="0.25">
      <c r="A23" s="46">
        <v>12</v>
      </c>
      <c r="B23" s="53" t="s">
        <v>39</v>
      </c>
      <c r="C23" s="48" t="s">
        <v>29</v>
      </c>
      <c r="D23" s="50">
        <v>1242</v>
      </c>
      <c r="E23" s="50">
        <v>24</v>
      </c>
      <c r="F23" s="51">
        <v>532051.22561469814</v>
      </c>
      <c r="G23" s="46">
        <v>777</v>
      </c>
      <c r="H23" s="50">
        <v>17</v>
      </c>
      <c r="I23" s="50">
        <v>666312.28999999992</v>
      </c>
      <c r="J23" s="50"/>
      <c r="K23" s="46"/>
      <c r="L23" s="50"/>
      <c r="M23" s="52"/>
      <c r="N23" s="49"/>
      <c r="O23" s="50"/>
      <c r="P23" s="52"/>
      <c r="Q23" s="49">
        <f>60+4+72</f>
        <v>136</v>
      </c>
      <c r="R23" s="50">
        <v>1</v>
      </c>
      <c r="S23" s="126">
        <f>30748.45+10872.09+41817.12</f>
        <v>83437.66</v>
      </c>
      <c r="T23" s="46">
        <f>2</f>
        <v>2</v>
      </c>
      <c r="U23" s="50">
        <v>1</v>
      </c>
      <c r="V23" s="52">
        <f>1543.2</f>
        <v>1543.2</v>
      </c>
      <c r="W23" s="49">
        <f>18</f>
        <v>18</v>
      </c>
      <c r="X23" s="50">
        <v>1</v>
      </c>
      <c r="Y23" s="126">
        <f>8356.23+48070.82</f>
        <v>56427.05</v>
      </c>
      <c r="Z23" s="46"/>
      <c r="AA23" s="50">
        <v>1</v>
      </c>
      <c r="AB23" s="52">
        <f>3807.47</f>
        <v>3807.47</v>
      </c>
      <c r="AC23" s="46">
        <f>60+102</f>
        <v>162</v>
      </c>
      <c r="AD23" s="50">
        <v>1</v>
      </c>
      <c r="AE23" s="52">
        <f>34494.38+61635.61+10310.51</f>
        <v>106440.49999999999</v>
      </c>
      <c r="AF23" s="46">
        <f>6+2</f>
        <v>8</v>
      </c>
      <c r="AG23" s="50">
        <v>1</v>
      </c>
      <c r="AH23" s="52">
        <f>9847.77+1981.23</f>
        <v>11829</v>
      </c>
      <c r="AI23" s="49">
        <v>36</v>
      </c>
      <c r="AJ23" s="50"/>
      <c r="AK23" s="126">
        <f>761.49+21559.98</f>
        <v>22321.47</v>
      </c>
      <c r="AL23" s="46">
        <f>2+6</f>
        <v>8</v>
      </c>
      <c r="AM23" s="50">
        <v>1</v>
      </c>
      <c r="AN23" s="126">
        <f>6830.99+5339.45</f>
        <v>12170.439999999999</v>
      </c>
      <c r="AO23" s="46"/>
      <c r="AP23" s="50"/>
      <c r="AQ23" s="52"/>
      <c r="AR23" s="46">
        <v>65</v>
      </c>
      <c r="AS23" s="50">
        <v>1</v>
      </c>
      <c r="AT23" s="52">
        <f>49788.54+11184.32</f>
        <v>60972.86</v>
      </c>
      <c r="AU23" s="46"/>
      <c r="AV23" s="50"/>
      <c r="AW23" s="52"/>
      <c r="AX23" s="46"/>
      <c r="AY23" s="50"/>
      <c r="AZ23" s="126"/>
      <c r="BA23" s="46">
        <f>6+3</f>
        <v>9</v>
      </c>
      <c r="BB23" s="50">
        <v>1</v>
      </c>
      <c r="BC23" s="52">
        <f>10265.91+16570.95+2722.51</f>
        <v>29559.370000000003</v>
      </c>
      <c r="BD23" s="49">
        <f>8</f>
        <v>8</v>
      </c>
      <c r="BE23" s="50">
        <v>1</v>
      </c>
      <c r="BF23" s="126">
        <f>4888.12</f>
        <v>4888.12</v>
      </c>
      <c r="BG23" s="46">
        <f>65+36</f>
        <v>101</v>
      </c>
      <c r="BH23" s="50">
        <v>1</v>
      </c>
      <c r="BI23" s="52">
        <f>50273.76+22755.01</f>
        <v>73028.77</v>
      </c>
      <c r="BJ23" s="49">
        <f>6+4</f>
        <v>10</v>
      </c>
      <c r="BK23" s="50">
        <v>1</v>
      </c>
      <c r="BL23" s="126">
        <f>18017.57+626.71+3001.05</f>
        <v>21645.329999999998</v>
      </c>
      <c r="BM23" s="46"/>
      <c r="BN23" s="50"/>
      <c r="BO23" s="52"/>
      <c r="BP23" s="46">
        <f>6+72</f>
        <v>78</v>
      </c>
      <c r="BQ23" s="50">
        <v>1</v>
      </c>
      <c r="BR23" s="52">
        <f>7358.87+6514.27+41826.1</f>
        <v>55699.24</v>
      </c>
      <c r="BS23" s="46">
        <f>3</f>
        <v>3</v>
      </c>
      <c r="BT23" s="50">
        <v>1</v>
      </c>
      <c r="BU23" s="52">
        <f>1351.7</f>
        <v>1351.7</v>
      </c>
      <c r="BV23" s="49"/>
      <c r="BW23" s="50">
        <v>1</v>
      </c>
      <c r="BX23" s="126">
        <f>1145.61</f>
        <v>1145.6099999999999</v>
      </c>
      <c r="BY23" s="46">
        <f>65+4</f>
        <v>69</v>
      </c>
      <c r="BZ23" s="50">
        <v>1</v>
      </c>
      <c r="CA23" s="52">
        <f>50273.76+22159.74</f>
        <v>72433.5</v>
      </c>
      <c r="CB23" s="46">
        <f>30+34</f>
        <v>64</v>
      </c>
      <c r="CC23" s="50">
        <v>1</v>
      </c>
      <c r="CD23" s="52">
        <f>15497.16+20142.08+4558.97+1347.78+6065.01</f>
        <v>47611.000000000007</v>
      </c>
    </row>
    <row r="24" spans="1:82" x14ac:dyDescent="0.25">
      <c r="A24" s="46">
        <v>13</v>
      </c>
      <c r="B24" s="148" t="s">
        <v>40</v>
      </c>
      <c r="C24" s="48" t="s">
        <v>29</v>
      </c>
      <c r="D24" s="50">
        <v>511</v>
      </c>
      <c r="E24" s="50">
        <v>16</v>
      </c>
      <c r="F24" s="51">
        <v>136643.75482157574</v>
      </c>
      <c r="G24" s="46">
        <v>93</v>
      </c>
      <c r="H24" s="50">
        <v>12</v>
      </c>
      <c r="I24" s="50">
        <v>199030.12</v>
      </c>
      <c r="J24" s="50"/>
      <c r="K24" s="46"/>
      <c r="L24" s="50"/>
      <c r="M24" s="52"/>
      <c r="N24" s="49"/>
      <c r="O24" s="50"/>
      <c r="P24" s="52"/>
      <c r="Q24" s="49">
        <f>10+4</f>
        <v>14</v>
      </c>
      <c r="R24" s="50">
        <v>1</v>
      </c>
      <c r="S24" s="126">
        <f>6577.37+18628.41+2372.09</f>
        <v>27577.87</v>
      </c>
      <c r="T24" s="46">
        <v>15</v>
      </c>
      <c r="U24" s="50">
        <v>1</v>
      </c>
      <c r="V24" s="52">
        <v>38817.269999999997</v>
      </c>
      <c r="W24" s="49">
        <f>4</f>
        <v>4</v>
      </c>
      <c r="X24" s="50">
        <v>1</v>
      </c>
      <c r="Y24" s="126">
        <f>6842.83</f>
        <v>6842.83</v>
      </c>
      <c r="Z24" s="46"/>
      <c r="AA24" s="50">
        <v>1</v>
      </c>
      <c r="AB24" s="52">
        <f>10582.64</f>
        <v>10582.64</v>
      </c>
      <c r="AC24" s="46">
        <f>6+6</f>
        <v>12</v>
      </c>
      <c r="AD24" s="50">
        <v>1</v>
      </c>
      <c r="AE24" s="52">
        <f>1525.95+7835.09+1626.32</f>
        <v>10987.36</v>
      </c>
      <c r="AF24" s="46"/>
      <c r="AG24" s="50"/>
      <c r="AH24" s="52"/>
      <c r="AI24" s="49"/>
      <c r="AJ24" s="50"/>
      <c r="AK24" s="126"/>
      <c r="AL24" s="46">
        <f>4+8</f>
        <v>12</v>
      </c>
      <c r="AM24" s="50">
        <v>1</v>
      </c>
      <c r="AN24" s="126">
        <f>1271.89+15421.74</f>
        <v>16693.63</v>
      </c>
      <c r="AO24" s="46">
        <f>4</f>
        <v>4</v>
      </c>
      <c r="AP24" s="50">
        <v>1</v>
      </c>
      <c r="AQ24" s="52">
        <f>22159.74</f>
        <v>22159.74</v>
      </c>
      <c r="AR24" s="46">
        <f>4+4</f>
        <v>8</v>
      </c>
      <c r="AS24" s="50">
        <v>1</v>
      </c>
      <c r="AT24" s="52">
        <f>5188.62+18832.97</f>
        <v>24021.59</v>
      </c>
      <c r="AU24" s="46"/>
      <c r="AV24" s="50"/>
      <c r="AW24" s="52"/>
      <c r="AX24" s="46"/>
      <c r="AY24" s="50"/>
      <c r="AZ24" s="126"/>
      <c r="BA24" s="46">
        <f>4</f>
        <v>4</v>
      </c>
      <c r="BB24" s="50">
        <v>1</v>
      </c>
      <c r="BC24" s="52">
        <f>18832.97</f>
        <v>18832.97</v>
      </c>
      <c r="BD24" s="49">
        <f>6</f>
        <v>6</v>
      </c>
      <c r="BE24" s="50">
        <v>1</v>
      </c>
      <c r="BF24" s="126">
        <f>8072.77</f>
        <v>8072.77</v>
      </c>
      <c r="BG24" s="46">
        <f>8</f>
        <v>8</v>
      </c>
      <c r="BH24" s="50">
        <v>1</v>
      </c>
      <c r="BI24" s="52">
        <f>9596.19</f>
        <v>9596.19</v>
      </c>
      <c r="BJ24" s="49"/>
      <c r="BK24" s="50"/>
      <c r="BL24" s="126"/>
      <c r="BM24" s="46"/>
      <c r="BN24" s="50"/>
      <c r="BO24" s="52"/>
      <c r="BP24" s="46"/>
      <c r="BQ24" s="50"/>
      <c r="BR24" s="52"/>
      <c r="BS24" s="46"/>
      <c r="BT24" s="50"/>
      <c r="BU24" s="52"/>
      <c r="BV24" s="49">
        <f>6</f>
        <v>6</v>
      </c>
      <c r="BW24" s="50">
        <v>1</v>
      </c>
      <c r="BX24" s="126">
        <f>4845.26</f>
        <v>4845.26</v>
      </c>
      <c r="BY24" s="46"/>
      <c r="BZ24" s="50"/>
      <c r="CA24" s="52"/>
      <c r="CB24" s="46"/>
      <c r="CC24" s="50"/>
      <c r="CD24" s="52"/>
    </row>
    <row r="25" spans="1:82" x14ac:dyDescent="0.25">
      <c r="A25" s="46"/>
      <c r="B25" s="148" t="s">
        <v>41</v>
      </c>
      <c r="C25" s="48" t="s">
        <v>29</v>
      </c>
      <c r="D25" s="50">
        <v>114</v>
      </c>
      <c r="E25" s="50">
        <v>16</v>
      </c>
      <c r="F25" s="51">
        <v>91246.83660315552</v>
      </c>
      <c r="G25" s="46">
        <v>138</v>
      </c>
      <c r="H25" s="50">
        <v>11</v>
      </c>
      <c r="I25" s="50">
        <v>179807.05</v>
      </c>
      <c r="J25" s="50"/>
      <c r="K25" s="46"/>
      <c r="L25" s="50"/>
      <c r="M25" s="52"/>
      <c r="N25" s="49"/>
      <c r="O25" s="50"/>
      <c r="P25" s="52"/>
      <c r="Q25" s="49">
        <f>16</f>
        <v>16</v>
      </c>
      <c r="R25" s="50">
        <v>1</v>
      </c>
      <c r="S25" s="126">
        <f>18451.68</f>
        <v>18451.68</v>
      </c>
      <c r="T25" s="46">
        <f>12</f>
        <v>12</v>
      </c>
      <c r="U25" s="50">
        <v>1</v>
      </c>
      <c r="V25" s="52">
        <f>19055.36</f>
        <v>19055.36</v>
      </c>
      <c r="W25" s="46">
        <f>12</f>
        <v>12</v>
      </c>
      <c r="X25" s="50">
        <v>1</v>
      </c>
      <c r="Y25" s="126">
        <f>19055.36</f>
        <v>19055.36</v>
      </c>
      <c r="Z25" s="46"/>
      <c r="AA25" s="50"/>
      <c r="AB25" s="52"/>
      <c r="AC25" s="46">
        <f>7</f>
        <v>7</v>
      </c>
      <c r="AD25" s="50">
        <v>1</v>
      </c>
      <c r="AE25" s="52">
        <f>4119.71</f>
        <v>4119.71</v>
      </c>
      <c r="AF25" s="46"/>
      <c r="AG25" s="50"/>
      <c r="AH25" s="52"/>
      <c r="AI25" s="49">
        <f>9+4</f>
        <v>13</v>
      </c>
      <c r="AJ25" s="50">
        <v>1</v>
      </c>
      <c r="AK25" s="126">
        <f>12709.76+2971.85</f>
        <v>15681.61</v>
      </c>
      <c r="AL25" s="46"/>
      <c r="AM25" s="50"/>
      <c r="AN25" s="126"/>
      <c r="AO25" s="46">
        <f>14+12</f>
        <v>26</v>
      </c>
      <c r="AP25" s="50">
        <v>1</v>
      </c>
      <c r="AQ25" s="52">
        <f>23634.05+14329.27</f>
        <v>37963.32</v>
      </c>
      <c r="AR25" s="46"/>
      <c r="AS25" s="50"/>
      <c r="AT25" s="52"/>
      <c r="AU25" s="46"/>
      <c r="AV25" s="50"/>
      <c r="AW25" s="52"/>
      <c r="AX25" s="46"/>
      <c r="AY25" s="50"/>
      <c r="AZ25" s="126"/>
      <c r="BA25" s="46"/>
      <c r="BB25" s="50"/>
      <c r="BC25" s="52"/>
      <c r="BD25" s="49"/>
      <c r="BE25" s="50"/>
      <c r="BF25" s="126"/>
      <c r="BG25" s="46"/>
      <c r="BH25" s="50"/>
      <c r="BI25" s="52"/>
      <c r="BJ25" s="49">
        <f>9</f>
        <v>9</v>
      </c>
      <c r="BK25" s="50">
        <v>1</v>
      </c>
      <c r="BL25" s="126">
        <f>12745.9</f>
        <v>12745.9</v>
      </c>
      <c r="BM25" s="46">
        <f>12</f>
        <v>12</v>
      </c>
      <c r="BN25" s="50">
        <v>1</v>
      </c>
      <c r="BO25" s="52">
        <f>19055.36</f>
        <v>19055.36</v>
      </c>
      <c r="BP25" s="46">
        <f>12+3+4</f>
        <v>19</v>
      </c>
      <c r="BQ25" s="50">
        <v>1</v>
      </c>
      <c r="BR25" s="52">
        <f>19055.36+2127.24+1864.42</f>
        <v>23047.019999999997</v>
      </c>
      <c r="BS25" s="46"/>
      <c r="BT25" s="50"/>
      <c r="BU25" s="52"/>
      <c r="BV25" s="49">
        <f>4</f>
        <v>4</v>
      </c>
      <c r="BW25" s="50">
        <v>1</v>
      </c>
      <c r="BX25" s="126">
        <f>1722.91</f>
        <v>1722.91</v>
      </c>
      <c r="BY25" s="46"/>
      <c r="BZ25" s="50"/>
      <c r="CA25" s="52"/>
      <c r="CB25" s="46">
        <f>8</f>
        <v>8</v>
      </c>
      <c r="CC25" s="50">
        <v>1</v>
      </c>
      <c r="CD25" s="52">
        <f>8908.82</f>
        <v>8908.82</v>
      </c>
    </row>
    <row r="26" spans="1:82" ht="21.75" customHeight="1" x14ac:dyDescent="0.25">
      <c r="A26" s="46">
        <v>14</v>
      </c>
      <c r="B26" s="149" t="s">
        <v>42</v>
      </c>
      <c r="C26" s="48" t="s">
        <v>29</v>
      </c>
      <c r="D26" s="50">
        <v>1156</v>
      </c>
      <c r="E26" s="50">
        <v>24</v>
      </c>
      <c r="F26" s="51">
        <v>92282.086736524841</v>
      </c>
      <c r="G26" s="46">
        <v>474</v>
      </c>
      <c r="H26" s="50">
        <v>15</v>
      </c>
      <c r="I26" s="50">
        <v>185180.44</v>
      </c>
      <c r="J26" s="50"/>
      <c r="K26" s="46">
        <f>1</f>
        <v>1</v>
      </c>
      <c r="L26" s="50">
        <v>1</v>
      </c>
      <c r="M26" s="52">
        <f>1280.43</f>
        <v>1280.43</v>
      </c>
      <c r="N26" s="46">
        <f>1</f>
        <v>1</v>
      </c>
      <c r="O26" s="50">
        <v>1</v>
      </c>
      <c r="P26" s="52">
        <f>1280.43+1287.12</f>
        <v>2567.5500000000002</v>
      </c>
      <c r="Q26" s="49"/>
      <c r="R26" s="50"/>
      <c r="S26" s="126"/>
      <c r="T26" s="46"/>
      <c r="U26" s="50"/>
      <c r="V26" s="52"/>
      <c r="W26" s="49"/>
      <c r="X26" s="50"/>
      <c r="Y26" s="126"/>
      <c r="Z26" s="46"/>
      <c r="AA26" s="50"/>
      <c r="AB26" s="52">
        <f>3111.12</f>
        <v>3111.12</v>
      </c>
      <c r="AC26" s="46"/>
      <c r="AD26" s="50"/>
      <c r="AE26" s="52"/>
      <c r="AF26" s="46"/>
      <c r="AG26" s="50"/>
      <c r="AH26" s="52"/>
      <c r="AI26" s="49">
        <f>60</f>
        <v>60</v>
      </c>
      <c r="AJ26" s="50">
        <v>1</v>
      </c>
      <c r="AK26" s="126">
        <f>10380.16+871.56</f>
        <v>11251.72</v>
      </c>
      <c r="AL26" s="46"/>
      <c r="AM26" s="50"/>
      <c r="AN26" s="126"/>
      <c r="AO26" s="46"/>
      <c r="AP26" s="50"/>
      <c r="AQ26" s="52"/>
      <c r="AR26" s="46">
        <f>20</f>
        <v>20</v>
      </c>
      <c r="AS26" s="50">
        <v>1</v>
      </c>
      <c r="AT26" s="52">
        <f>8086.93+7056</f>
        <v>15142.93</v>
      </c>
      <c r="AU26" s="46">
        <f>1</f>
        <v>1</v>
      </c>
      <c r="AV26" s="50">
        <v>1</v>
      </c>
      <c r="AW26" s="52">
        <f>1280.43</f>
        <v>1280.43</v>
      </c>
      <c r="AX26" s="46">
        <f>1</f>
        <v>1</v>
      </c>
      <c r="AY26" s="50">
        <v>1</v>
      </c>
      <c r="AZ26" s="52">
        <f>1280.43+7489.16</f>
        <v>8769.59</v>
      </c>
      <c r="BA26" s="46">
        <f>30</f>
        <v>30</v>
      </c>
      <c r="BB26" s="50">
        <v>1</v>
      </c>
      <c r="BC26" s="52">
        <f>810.91</f>
        <v>810.91</v>
      </c>
      <c r="BD26" s="49">
        <f>35</f>
        <v>35</v>
      </c>
      <c r="BE26" s="50">
        <v>1</v>
      </c>
      <c r="BF26" s="126">
        <f>5887.73</f>
        <v>5887.73</v>
      </c>
      <c r="BG26" s="46">
        <f>40</f>
        <v>40</v>
      </c>
      <c r="BH26" s="50">
        <v>1</v>
      </c>
      <c r="BI26" s="52">
        <f>5629.4+18439.87</f>
        <v>24069.269999999997</v>
      </c>
      <c r="BJ26" s="49">
        <f>20</f>
        <v>20</v>
      </c>
      <c r="BK26" s="50">
        <v>1</v>
      </c>
      <c r="BL26" s="126">
        <f>6523.25+28793.07</f>
        <v>35316.32</v>
      </c>
      <c r="BM26" s="46">
        <f>30</f>
        <v>30</v>
      </c>
      <c r="BN26" s="50">
        <v>1</v>
      </c>
      <c r="BO26" s="52">
        <f>1091.7+376.18+18338.79</f>
        <v>19806.670000000002</v>
      </c>
      <c r="BP26" s="46">
        <f>20</f>
        <v>20</v>
      </c>
      <c r="BQ26" s="50">
        <v>1</v>
      </c>
      <c r="BR26" s="52">
        <f>6523.25</f>
        <v>6523.25</v>
      </c>
      <c r="BS26" s="46">
        <f>50</f>
        <v>50</v>
      </c>
      <c r="BT26" s="50">
        <v>1</v>
      </c>
      <c r="BU26" s="52">
        <f>7230.83+6738.9</f>
        <v>13969.73</v>
      </c>
      <c r="BV26" s="49">
        <f>60+50</f>
        <v>110</v>
      </c>
      <c r="BW26" s="50">
        <v>1</v>
      </c>
      <c r="BX26" s="126">
        <f>9605.12+13214.98</f>
        <v>22820.1</v>
      </c>
      <c r="BY26" s="46">
        <f>35+20</f>
        <v>55</v>
      </c>
      <c r="BZ26" s="50">
        <v>1</v>
      </c>
      <c r="CA26" s="52">
        <f>6049.44+6523.25</f>
        <v>12572.689999999999</v>
      </c>
      <c r="CB26" s="46"/>
      <c r="CC26" s="50"/>
      <c r="CD26" s="52"/>
    </row>
    <row r="27" spans="1:82" x14ac:dyDescent="0.25">
      <c r="A27" s="46">
        <v>15</v>
      </c>
      <c r="B27" s="47" t="s">
        <v>43</v>
      </c>
      <c r="C27" s="48"/>
      <c r="D27" s="50"/>
      <c r="E27" s="126"/>
      <c r="F27" s="51">
        <v>0</v>
      </c>
      <c r="G27" s="46"/>
      <c r="H27" s="50"/>
      <c r="I27" s="50">
        <v>0</v>
      </c>
      <c r="J27" s="50"/>
      <c r="K27" s="46"/>
      <c r="L27" s="50"/>
      <c r="M27" s="52"/>
      <c r="N27" s="49"/>
      <c r="O27" s="50"/>
      <c r="P27" s="52"/>
      <c r="Q27" s="49"/>
      <c r="R27" s="50"/>
      <c r="S27" s="126"/>
      <c r="T27" s="46"/>
      <c r="U27" s="50"/>
      <c r="V27" s="52"/>
      <c r="W27" s="49"/>
      <c r="X27" s="50"/>
      <c r="Y27" s="126"/>
      <c r="Z27" s="46"/>
      <c r="AA27" s="50"/>
      <c r="AB27" s="52"/>
      <c r="AC27" s="46"/>
      <c r="AD27" s="50"/>
      <c r="AE27" s="52"/>
      <c r="AF27" s="46"/>
      <c r="AG27" s="50"/>
      <c r="AH27" s="52"/>
      <c r="AI27" s="49"/>
      <c r="AJ27" s="50"/>
      <c r="AK27" s="126"/>
      <c r="AL27" s="46"/>
      <c r="AM27" s="50"/>
      <c r="AN27" s="126"/>
      <c r="AO27" s="46"/>
      <c r="AP27" s="50"/>
      <c r="AQ27" s="52"/>
      <c r="AR27" s="46"/>
      <c r="AS27" s="50"/>
      <c r="AT27" s="52"/>
      <c r="AU27" s="46"/>
      <c r="AV27" s="50"/>
      <c r="AW27" s="52"/>
      <c r="AX27" s="46"/>
      <c r="AY27" s="50"/>
      <c r="AZ27" s="126"/>
      <c r="BA27" s="46"/>
      <c r="BB27" s="50"/>
      <c r="BC27" s="52"/>
      <c r="BD27" s="49"/>
      <c r="BE27" s="50"/>
      <c r="BF27" s="126"/>
      <c r="BG27" s="46"/>
      <c r="BH27" s="50"/>
      <c r="BI27" s="52"/>
      <c r="BJ27" s="49"/>
      <c r="BK27" s="50"/>
      <c r="BL27" s="126"/>
      <c r="BM27" s="46"/>
      <c r="BN27" s="50"/>
      <c r="BO27" s="52"/>
      <c r="BP27" s="46"/>
      <c r="BQ27" s="50"/>
      <c r="BR27" s="52"/>
      <c r="BS27" s="46"/>
      <c r="BT27" s="50"/>
      <c r="BU27" s="52"/>
      <c r="BV27" s="49"/>
      <c r="BW27" s="50"/>
      <c r="BX27" s="126"/>
      <c r="BY27" s="46"/>
      <c r="BZ27" s="50"/>
      <c r="CA27" s="52"/>
      <c r="CB27" s="46"/>
      <c r="CC27" s="50"/>
      <c r="CD27" s="52"/>
    </row>
    <row r="28" spans="1:82" x14ac:dyDescent="0.25">
      <c r="A28" s="46">
        <v>16</v>
      </c>
      <c r="B28" s="47" t="s">
        <v>44</v>
      </c>
      <c r="C28" s="48"/>
      <c r="D28" s="50"/>
      <c r="E28" s="50"/>
      <c r="F28" s="51">
        <v>0</v>
      </c>
      <c r="G28" s="46"/>
      <c r="H28" s="50"/>
      <c r="I28" s="50">
        <v>0</v>
      </c>
      <c r="J28" s="50"/>
      <c r="K28" s="46"/>
      <c r="L28" s="50"/>
      <c r="M28" s="52"/>
      <c r="N28" s="49"/>
      <c r="O28" s="50"/>
      <c r="P28" s="52"/>
      <c r="Q28" s="49"/>
      <c r="R28" s="50"/>
      <c r="S28" s="126"/>
      <c r="T28" s="46"/>
      <c r="U28" s="50"/>
      <c r="V28" s="52"/>
      <c r="W28" s="49"/>
      <c r="X28" s="50"/>
      <c r="Y28" s="126"/>
      <c r="Z28" s="46"/>
      <c r="AA28" s="50"/>
      <c r="AB28" s="52"/>
      <c r="AC28" s="46"/>
      <c r="AD28" s="50"/>
      <c r="AE28" s="52"/>
      <c r="AF28" s="46"/>
      <c r="AG28" s="50"/>
      <c r="AH28" s="52"/>
      <c r="AI28" s="49"/>
      <c r="AJ28" s="50"/>
      <c r="AK28" s="126"/>
      <c r="AL28" s="46"/>
      <c r="AM28" s="50"/>
      <c r="AN28" s="126"/>
      <c r="AO28" s="46"/>
      <c r="AP28" s="50"/>
      <c r="AQ28" s="52"/>
      <c r="AR28" s="46"/>
      <c r="AS28" s="50"/>
      <c r="AT28" s="52"/>
      <c r="AU28" s="46"/>
      <c r="AV28" s="50"/>
      <c r="AW28" s="52"/>
      <c r="AX28" s="46"/>
      <c r="AY28" s="50"/>
      <c r="AZ28" s="126"/>
      <c r="BA28" s="46"/>
      <c r="BB28" s="50"/>
      <c r="BC28" s="52"/>
      <c r="BD28" s="49"/>
      <c r="BE28" s="50"/>
      <c r="BF28" s="126"/>
      <c r="BG28" s="46"/>
      <c r="BH28" s="50"/>
      <c r="BI28" s="52"/>
      <c r="BJ28" s="49"/>
      <c r="BK28" s="50"/>
      <c r="BL28" s="126"/>
      <c r="BM28" s="46"/>
      <c r="BN28" s="50"/>
      <c r="BO28" s="52"/>
      <c r="BP28" s="46"/>
      <c r="BQ28" s="50"/>
      <c r="BR28" s="52"/>
      <c r="BS28" s="46"/>
      <c r="BT28" s="50"/>
      <c r="BU28" s="52"/>
      <c r="BV28" s="49"/>
      <c r="BW28" s="50"/>
      <c r="BX28" s="126"/>
      <c r="BY28" s="46"/>
      <c r="BZ28" s="50"/>
      <c r="CA28" s="52"/>
      <c r="CB28" s="46"/>
      <c r="CC28" s="50"/>
      <c r="CD28" s="52"/>
    </row>
    <row r="29" spans="1:82" ht="15.75" thickBot="1" x14ac:dyDescent="0.3">
      <c r="A29" s="68">
        <v>17</v>
      </c>
      <c r="B29" s="69" t="s">
        <v>45</v>
      </c>
      <c r="C29" s="70"/>
      <c r="D29" s="71"/>
      <c r="E29" s="71"/>
      <c r="F29" s="150">
        <v>0</v>
      </c>
      <c r="G29" s="77"/>
      <c r="H29" s="75"/>
      <c r="I29" s="75">
        <v>10029.720000000001</v>
      </c>
      <c r="J29" s="75"/>
      <c r="K29" s="77"/>
      <c r="L29" s="75"/>
      <c r="M29" s="76"/>
      <c r="N29" s="128"/>
      <c r="O29" s="71"/>
      <c r="P29" s="73"/>
      <c r="Q29" s="128"/>
      <c r="R29" s="71"/>
      <c r="S29" s="129"/>
      <c r="T29" s="68"/>
      <c r="U29" s="71"/>
      <c r="V29" s="73"/>
      <c r="W29" s="128"/>
      <c r="X29" s="71"/>
      <c r="Y29" s="129"/>
      <c r="Z29" s="77"/>
      <c r="AA29" s="75"/>
      <c r="AB29" s="76"/>
      <c r="AC29" s="77"/>
      <c r="AD29" s="75">
        <v>1</v>
      </c>
      <c r="AE29" s="76">
        <f>4243.26</f>
        <v>4243.26</v>
      </c>
      <c r="AF29" s="68"/>
      <c r="AG29" s="71"/>
      <c r="AH29" s="73"/>
      <c r="AI29" s="128"/>
      <c r="AJ29" s="71"/>
      <c r="AK29" s="129"/>
      <c r="AL29" s="77"/>
      <c r="AM29" s="75">
        <v>1</v>
      </c>
      <c r="AN29" s="151">
        <f>5786.46</f>
        <v>5786.46</v>
      </c>
      <c r="AO29" s="68"/>
      <c r="AP29" s="71"/>
      <c r="AQ29" s="73"/>
      <c r="AR29" s="68"/>
      <c r="AS29" s="71"/>
      <c r="AT29" s="73"/>
      <c r="AU29" s="68"/>
      <c r="AV29" s="71"/>
      <c r="AW29" s="73"/>
      <c r="AX29" s="68"/>
      <c r="AY29" s="71"/>
      <c r="AZ29" s="129"/>
      <c r="BA29" s="77"/>
      <c r="BB29" s="75"/>
      <c r="BC29" s="76"/>
      <c r="BD29" s="128"/>
      <c r="BE29" s="71"/>
      <c r="BF29" s="129"/>
      <c r="BG29" s="77"/>
      <c r="BH29" s="75"/>
      <c r="BI29" s="76"/>
      <c r="BJ29" s="128"/>
      <c r="BK29" s="71"/>
      <c r="BL29" s="129"/>
      <c r="BM29" s="68"/>
      <c r="BN29" s="71"/>
      <c r="BO29" s="73"/>
      <c r="BP29" s="77"/>
      <c r="BQ29" s="75"/>
      <c r="BR29" s="76"/>
      <c r="BS29" s="68"/>
      <c r="BT29" s="71"/>
      <c r="BU29" s="73"/>
      <c r="BV29" s="128"/>
      <c r="BW29" s="71"/>
      <c r="BX29" s="129"/>
      <c r="BY29" s="68"/>
      <c r="BZ29" s="71"/>
      <c r="CA29" s="73"/>
      <c r="CB29" s="68"/>
      <c r="CC29" s="71"/>
      <c r="CD29" s="73"/>
    </row>
    <row r="30" spans="1:82" ht="15.75" thickBot="1" x14ac:dyDescent="0.3">
      <c r="A30" s="90"/>
      <c r="B30" s="69" t="s">
        <v>58</v>
      </c>
      <c r="C30" s="152"/>
      <c r="D30" s="71"/>
      <c r="E30" s="71"/>
      <c r="F30" s="153">
        <v>897298.32335625449</v>
      </c>
      <c r="G30" s="154"/>
      <c r="H30" s="155"/>
      <c r="I30" s="155"/>
      <c r="J30" s="155">
        <v>746989</v>
      </c>
      <c r="K30" s="88"/>
      <c r="L30" s="83"/>
      <c r="M30" s="84"/>
      <c r="N30" s="79"/>
      <c r="O30" s="80"/>
      <c r="P30" s="81"/>
      <c r="Q30" s="79"/>
      <c r="R30" s="80"/>
      <c r="S30" s="81">
        <f>51134</f>
        <v>51134</v>
      </c>
      <c r="T30" s="79"/>
      <c r="U30" s="80"/>
      <c r="V30" s="81">
        <f>51134</f>
        <v>51134</v>
      </c>
      <c r="W30" s="79"/>
      <c r="X30" s="80"/>
      <c r="Y30" s="81"/>
      <c r="Z30" s="79"/>
      <c r="AA30" s="80"/>
      <c r="AB30" s="81">
        <f>60806</f>
        <v>60806</v>
      </c>
      <c r="AC30" s="79"/>
      <c r="AD30" s="80"/>
      <c r="AE30" s="81"/>
      <c r="AF30" s="79"/>
      <c r="AG30" s="80"/>
      <c r="AH30" s="81">
        <f>28004</f>
        <v>28004</v>
      </c>
      <c r="AI30" s="89"/>
      <c r="AJ30" s="80"/>
      <c r="AK30" s="81">
        <f>101344</f>
        <v>101344</v>
      </c>
      <c r="AL30" s="88"/>
      <c r="AM30" s="83"/>
      <c r="AN30" s="156">
        <f>58273+12668+5067</f>
        <v>76008</v>
      </c>
      <c r="AO30" s="79"/>
      <c r="AP30" s="80"/>
      <c r="AQ30" s="81">
        <f>7600+73474</f>
        <v>81074</v>
      </c>
      <c r="AR30" s="79"/>
      <c r="AS30" s="80"/>
      <c r="AT30" s="81">
        <f>2000+81075+16468+37145</f>
        <v>136688</v>
      </c>
      <c r="AU30" s="79"/>
      <c r="AV30" s="80"/>
      <c r="AW30" s="81"/>
      <c r="AX30" s="79"/>
      <c r="AY30" s="80"/>
      <c r="AZ30" s="81"/>
      <c r="BA30" s="90"/>
      <c r="BB30" s="86"/>
      <c r="BC30" s="157">
        <f>1000+7601+23055</f>
        <v>31656</v>
      </c>
      <c r="BD30" s="79"/>
      <c r="BE30" s="80"/>
      <c r="BF30" s="81">
        <v>2000</v>
      </c>
      <c r="BG30" s="88"/>
      <c r="BH30" s="83"/>
      <c r="BI30" s="84">
        <f>4574</f>
        <v>4574</v>
      </c>
      <c r="BJ30" s="79"/>
      <c r="BK30" s="80"/>
      <c r="BL30" s="81"/>
      <c r="BM30" s="79"/>
      <c r="BN30" s="80"/>
      <c r="BO30" s="81">
        <f>51134+12808+25336</f>
        <v>89278</v>
      </c>
      <c r="BP30" s="88"/>
      <c r="BQ30" s="83"/>
      <c r="BR30" s="84">
        <f>15202</f>
        <v>15202</v>
      </c>
      <c r="BS30" s="79"/>
      <c r="BT30" s="80"/>
      <c r="BU30" s="81"/>
      <c r="BV30" s="79"/>
      <c r="BW30" s="80"/>
      <c r="BX30" s="81">
        <f>9121</f>
        <v>9121</v>
      </c>
      <c r="BY30" s="79"/>
      <c r="BZ30" s="80"/>
      <c r="CA30" s="81"/>
      <c r="CB30" s="79"/>
      <c r="CC30" s="80"/>
      <c r="CD30" s="81">
        <f>8966</f>
        <v>8966</v>
      </c>
    </row>
    <row r="31" spans="1:82" ht="15.75" thickBot="1" x14ac:dyDescent="0.3">
      <c r="A31" s="79"/>
      <c r="B31" s="92" t="s">
        <v>47</v>
      </c>
      <c r="C31" s="93"/>
      <c r="D31" s="93"/>
      <c r="E31" s="94"/>
      <c r="F31" s="205">
        <f>SUM(F13:F30)</f>
        <v>2986090.9775000005</v>
      </c>
      <c r="G31" s="96"/>
      <c r="H31" s="97"/>
      <c r="I31" s="98">
        <f>SUM(I12:I29)+J30</f>
        <v>3440961.85</v>
      </c>
      <c r="J31" s="98">
        <f>SUM(J14:J29)</f>
        <v>0</v>
      </c>
      <c r="K31" s="27"/>
      <c r="L31" s="100"/>
      <c r="M31" s="101">
        <f>SUM(M12:M29)</f>
        <v>1280.43</v>
      </c>
      <c r="N31" s="27"/>
      <c r="O31" s="100"/>
      <c r="P31" s="101">
        <f>SUM(P12:P29)</f>
        <v>2567.5500000000002</v>
      </c>
      <c r="Q31" s="27"/>
      <c r="R31" s="100"/>
      <c r="S31" s="101">
        <f>SUM(S12:S29)+S30</f>
        <v>228876.43</v>
      </c>
      <c r="T31" s="27"/>
      <c r="U31" s="100"/>
      <c r="V31" s="101">
        <f>SUM(V12:V29)+V30</f>
        <v>148006.88</v>
      </c>
      <c r="W31" s="27"/>
      <c r="X31" s="100"/>
      <c r="Y31" s="101">
        <f>SUM(Y12:Y29)</f>
        <v>96493.1</v>
      </c>
      <c r="Z31" s="27"/>
      <c r="AA31" s="100"/>
      <c r="AB31" s="101">
        <f>SUM(AB12:AB29)+AB30</f>
        <v>193528.96000000002</v>
      </c>
      <c r="AC31" s="27"/>
      <c r="AD31" s="100"/>
      <c r="AE31" s="101">
        <f>SUM(AE12:AE29)</f>
        <v>128940.15999999999</v>
      </c>
      <c r="AF31" s="27"/>
      <c r="AG31" s="100"/>
      <c r="AH31" s="101">
        <f>SUM(AH12:AH29)+AH30</f>
        <v>112410.95</v>
      </c>
      <c r="AI31" s="27"/>
      <c r="AJ31" s="100"/>
      <c r="AK31" s="101">
        <f>SUM(AK12:AK29)+AK30</f>
        <v>343533.5</v>
      </c>
      <c r="AL31" s="27"/>
      <c r="AM31" s="100"/>
      <c r="AN31" s="101">
        <f>SUM(AN12:AN29)+AN30</f>
        <v>252487.65</v>
      </c>
      <c r="AO31" s="27"/>
      <c r="AP31" s="100"/>
      <c r="AQ31" s="101">
        <f>SUM(AQ12:AQ29)+AQ30</f>
        <v>300819.13</v>
      </c>
      <c r="AR31" s="27"/>
      <c r="AS31" s="100"/>
      <c r="AT31" s="101">
        <f>SUM(AT12:AT29)+AT30</f>
        <v>545671.37999999989</v>
      </c>
      <c r="AU31" s="27"/>
      <c r="AV31" s="100"/>
      <c r="AW31" s="101">
        <f>SUM(AW12:AW29)</f>
        <v>1280.43</v>
      </c>
      <c r="AX31" s="27"/>
      <c r="AY31" s="100"/>
      <c r="AZ31" s="101">
        <f>SUM(AZ12:AZ29)</f>
        <v>23494.54</v>
      </c>
      <c r="BA31" s="27"/>
      <c r="BB31" s="100"/>
      <c r="BC31" s="101">
        <f>SUM(BC12:BC29)+BC30</f>
        <v>189854.2</v>
      </c>
      <c r="BD31" s="27"/>
      <c r="BE31" s="100"/>
      <c r="BF31" s="101">
        <f>SUM(BF12:BF29)+BF30</f>
        <v>24458.44</v>
      </c>
      <c r="BG31" s="27"/>
      <c r="BH31" s="100"/>
      <c r="BI31" s="101">
        <f>SUM(BI12:BI29)+BI30</f>
        <v>158952.9</v>
      </c>
      <c r="BJ31" s="27"/>
      <c r="BK31" s="100"/>
      <c r="BL31" s="101">
        <f>SUM(BL12:BL29)</f>
        <v>70031.01999999999</v>
      </c>
      <c r="BM31" s="27"/>
      <c r="BN31" s="100"/>
      <c r="BO31" s="101">
        <f>SUM(BO12:BO29)+BO30</f>
        <v>263724.44000000006</v>
      </c>
      <c r="BP31" s="27"/>
      <c r="BQ31" s="100"/>
      <c r="BR31" s="101">
        <f>SUM(BR12:BR29)+BR30</f>
        <v>115944.01999999999</v>
      </c>
      <c r="BS31" s="27"/>
      <c r="BT31" s="100"/>
      <c r="BU31" s="101">
        <f>SUM(BU12:BU29)</f>
        <v>15321.43</v>
      </c>
      <c r="BV31" s="27"/>
      <c r="BW31" s="100"/>
      <c r="BX31" s="101">
        <f>SUM(BX12:BX29)+BX30</f>
        <v>56106.78</v>
      </c>
      <c r="BY31" s="27"/>
      <c r="BZ31" s="100"/>
      <c r="CA31" s="101">
        <f>SUM(CA12:CA29)</f>
        <v>85329.66</v>
      </c>
      <c r="CB31" s="27"/>
      <c r="CC31" s="100"/>
      <c r="CD31" s="101">
        <f>SUM(CD12:CD29)+CD30</f>
        <v>81847.87</v>
      </c>
    </row>
    <row r="32" spans="1:82" x14ac:dyDescent="0.25">
      <c r="A32" s="3"/>
      <c r="B32" s="3"/>
      <c r="C32" s="3"/>
      <c r="D32" s="3"/>
      <c r="E32" s="3"/>
      <c r="F32" s="3"/>
      <c r="G32" s="3"/>
    </row>
    <row r="33" spans="1:13" x14ac:dyDescent="0.25">
      <c r="A33" s="3"/>
      <c r="B33" s="3"/>
      <c r="C33" s="3"/>
      <c r="D33" s="3"/>
      <c r="E33" s="3"/>
      <c r="F33" s="3"/>
      <c r="G33" s="3"/>
    </row>
    <row r="34" spans="1:13" x14ac:dyDescent="0.25">
      <c r="A34" s="3"/>
      <c r="B34" s="3"/>
      <c r="C34" s="3"/>
      <c r="D34" s="3"/>
      <c r="E34" s="3"/>
      <c r="F34" s="3"/>
      <c r="G34" s="3"/>
    </row>
    <row r="35" spans="1:13" x14ac:dyDescent="0.25">
      <c r="A35" s="3"/>
      <c r="B35" s="3"/>
      <c r="C35" s="3"/>
      <c r="D35" s="3"/>
      <c r="E35" s="3"/>
      <c r="F35" s="3"/>
      <c r="G35" s="3"/>
    </row>
    <row r="36" spans="1:13" ht="15.75" x14ac:dyDescent="0.25">
      <c r="A36" s="3"/>
      <c r="B36" s="108" t="s">
        <v>48</v>
      </c>
      <c r="I36" s="108" t="s">
        <v>49</v>
      </c>
      <c r="M36" s="108"/>
    </row>
  </sheetData>
  <mergeCells count="136">
    <mergeCell ref="B2:J2"/>
    <mergeCell ref="B3:J3"/>
    <mergeCell ref="B4:J4"/>
    <mergeCell ref="B5:J5"/>
    <mergeCell ref="A7:A10"/>
    <mergeCell ref="B7:B10"/>
    <mergeCell ref="C7:C10"/>
    <mergeCell ref="D7:F7"/>
    <mergeCell ref="G7:J7"/>
    <mergeCell ref="D8:D10"/>
    <mergeCell ref="BV7:BX7"/>
    <mergeCell ref="BY7:CA7"/>
    <mergeCell ref="CB7:CD7"/>
    <mergeCell ref="AU7:AW7"/>
    <mergeCell ref="AX7:AZ7"/>
    <mergeCell ref="BA7:BC7"/>
    <mergeCell ref="BD7:BF7"/>
    <mergeCell ref="BG7:BI7"/>
    <mergeCell ref="BJ7:BL7"/>
    <mergeCell ref="E8:E10"/>
    <mergeCell ref="F8:F10"/>
    <mergeCell ref="G8:G10"/>
    <mergeCell ref="H8:H10"/>
    <mergeCell ref="I8:I10"/>
    <mergeCell ref="J8:J10"/>
    <mergeCell ref="BM7:BO7"/>
    <mergeCell ref="BP7:BR7"/>
    <mergeCell ref="BS7:BU7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AI8:AK8"/>
    <mergeCell ref="AL8:AN8"/>
    <mergeCell ref="AO8:AQ8"/>
    <mergeCell ref="K8:M8"/>
    <mergeCell ref="N8:P8"/>
    <mergeCell ref="Q8:S8"/>
    <mergeCell ref="T8:V8"/>
    <mergeCell ref="W8:Y8"/>
    <mergeCell ref="S9:S11"/>
    <mergeCell ref="T9:T11"/>
    <mergeCell ref="U9:U11"/>
    <mergeCell ref="V9:V11"/>
    <mergeCell ref="CB8:CD8"/>
    <mergeCell ref="K9:K11"/>
    <mergeCell ref="L9:L11"/>
    <mergeCell ref="M9:M11"/>
    <mergeCell ref="N9:N11"/>
    <mergeCell ref="O9:O11"/>
    <mergeCell ref="P9:P11"/>
    <mergeCell ref="Q9:Q11"/>
    <mergeCell ref="R9:R11"/>
    <mergeCell ref="BJ8:BL8"/>
    <mergeCell ref="BM8:BO8"/>
    <mergeCell ref="BP8:BR8"/>
    <mergeCell ref="BS8:BU8"/>
    <mergeCell ref="BV8:BX8"/>
    <mergeCell ref="BY8:CA8"/>
    <mergeCell ref="AR8:AT8"/>
    <mergeCell ref="AU8:AW8"/>
    <mergeCell ref="AX8:AZ8"/>
    <mergeCell ref="BA8:BC8"/>
    <mergeCell ref="BD8:BF8"/>
    <mergeCell ref="BG8:BI8"/>
    <mergeCell ref="Z8:AB8"/>
    <mergeCell ref="AC8:AE8"/>
    <mergeCell ref="AF8:AH8"/>
    <mergeCell ref="AC9:AC11"/>
    <mergeCell ref="AD9:AD11"/>
    <mergeCell ref="AE9:AE11"/>
    <mergeCell ref="AF9:AF11"/>
    <mergeCell ref="AG9:AG11"/>
    <mergeCell ref="AH9:AH11"/>
    <mergeCell ref="W9:W11"/>
    <mergeCell ref="X9:X11"/>
    <mergeCell ref="Y9:Y11"/>
    <mergeCell ref="Z9:Z11"/>
    <mergeCell ref="AA9:AA11"/>
    <mergeCell ref="AB9:AB11"/>
    <mergeCell ref="AO9:AO11"/>
    <mergeCell ref="AP9:AP11"/>
    <mergeCell ref="AQ9:AQ11"/>
    <mergeCell ref="AR9:AR11"/>
    <mergeCell ref="AS9:AS11"/>
    <mergeCell ref="AT9:AT11"/>
    <mergeCell ref="AI9:AI11"/>
    <mergeCell ref="AJ9:AJ11"/>
    <mergeCell ref="AK9:AK11"/>
    <mergeCell ref="AL9:AL11"/>
    <mergeCell ref="AM9:AM11"/>
    <mergeCell ref="AN9:AN11"/>
    <mergeCell ref="BA9:BA11"/>
    <mergeCell ref="BB9:BB11"/>
    <mergeCell ref="BC9:BC11"/>
    <mergeCell ref="BD9:BD11"/>
    <mergeCell ref="BE9:BE11"/>
    <mergeCell ref="BF9:BF11"/>
    <mergeCell ref="AU9:AU11"/>
    <mergeCell ref="AV9:AV11"/>
    <mergeCell ref="AW9:AW11"/>
    <mergeCell ref="AX9:AX11"/>
    <mergeCell ref="AY9:AY11"/>
    <mergeCell ref="AZ9:AZ11"/>
    <mergeCell ref="BM9:BM11"/>
    <mergeCell ref="BN9:BN11"/>
    <mergeCell ref="BO9:BO11"/>
    <mergeCell ref="BP9:BP11"/>
    <mergeCell ref="BQ9:BQ11"/>
    <mergeCell ref="BR9:BR11"/>
    <mergeCell ref="BG9:BG11"/>
    <mergeCell ref="BH9:BH11"/>
    <mergeCell ref="BI9:BI11"/>
    <mergeCell ref="BJ9:BJ11"/>
    <mergeCell ref="BK9:BK11"/>
    <mergeCell ref="BL9:BL11"/>
    <mergeCell ref="BY9:BY11"/>
    <mergeCell ref="BZ9:BZ11"/>
    <mergeCell ref="CA9:CA11"/>
    <mergeCell ref="CB9:CB11"/>
    <mergeCell ref="CC9:CC11"/>
    <mergeCell ref="CD9:CD11"/>
    <mergeCell ref="BS9:BS11"/>
    <mergeCell ref="BT9:BT11"/>
    <mergeCell ref="BU9:BU11"/>
    <mergeCell ref="BV9:BV11"/>
    <mergeCell ref="BW9:BW11"/>
    <mergeCell ref="BX9:BX1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topLeftCell="C4" zoomScale="63" zoomScaleNormal="63" workbookViewId="0">
      <selection activeCell="J12" sqref="J12"/>
    </sheetView>
  </sheetViews>
  <sheetFormatPr defaultRowHeight="15" x14ac:dyDescent="0.25"/>
  <cols>
    <col min="1" max="1" width="4.42578125" customWidth="1"/>
    <col min="2" max="2" width="27.85546875" customWidth="1"/>
    <col min="6" max="6" width="13.7109375" customWidth="1"/>
  </cols>
  <sheetData>
    <row r="1" spans="1:40" ht="20.25" x14ac:dyDescent="0.3">
      <c r="B1" s="2"/>
      <c r="C1" s="160" t="s">
        <v>86</v>
      </c>
      <c r="D1" s="161"/>
    </row>
    <row r="2" spans="1:40" ht="15.75" x14ac:dyDescent="0.25">
      <c r="B2" s="313" t="s">
        <v>87</v>
      </c>
      <c r="C2" s="313"/>
      <c r="D2" s="313"/>
      <c r="E2" s="313"/>
      <c r="F2" s="313"/>
      <c r="G2" s="313"/>
      <c r="H2" s="313"/>
      <c r="I2" s="313"/>
      <c r="J2" s="197"/>
    </row>
    <row r="3" spans="1:40" ht="15.75" x14ac:dyDescent="0.25">
      <c r="B3" s="314"/>
      <c r="C3" s="314"/>
      <c r="D3" s="314"/>
      <c r="E3" s="314"/>
      <c r="F3" s="314"/>
      <c r="G3" s="314"/>
      <c r="H3" s="314"/>
      <c r="I3" s="314"/>
      <c r="J3" s="198"/>
    </row>
    <row r="4" spans="1:40" ht="15.75" x14ac:dyDescent="0.25">
      <c r="B4" s="313" t="s">
        <v>2</v>
      </c>
      <c r="C4" s="313"/>
      <c r="D4" s="313"/>
      <c r="E4" s="313"/>
      <c r="F4" s="313"/>
      <c r="G4" s="313"/>
      <c r="H4" s="313"/>
      <c r="I4" s="313"/>
      <c r="J4" s="197"/>
    </row>
    <row r="5" spans="1:40" ht="15.75" thickBot="1" x14ac:dyDescent="0.3"/>
    <row r="6" spans="1:40" ht="15.75" thickBot="1" x14ac:dyDescent="0.3">
      <c r="A6" s="345" t="s">
        <v>3</v>
      </c>
      <c r="B6" s="348" t="s">
        <v>4</v>
      </c>
      <c r="C6" s="351" t="s">
        <v>5</v>
      </c>
      <c r="D6" s="354" t="s">
        <v>6</v>
      </c>
      <c r="E6" s="355"/>
      <c r="F6" s="356"/>
      <c r="G6" s="354" t="s">
        <v>7</v>
      </c>
      <c r="H6" s="355"/>
      <c r="I6" s="355"/>
      <c r="J6" s="184"/>
      <c r="K6" s="335" t="s">
        <v>88</v>
      </c>
      <c r="L6" s="336"/>
      <c r="M6" s="337"/>
      <c r="N6" s="335" t="s">
        <v>89</v>
      </c>
      <c r="O6" s="336"/>
      <c r="P6" s="336"/>
      <c r="Q6" s="335" t="s">
        <v>90</v>
      </c>
      <c r="R6" s="336"/>
      <c r="S6" s="337"/>
      <c r="T6" s="335" t="s">
        <v>91</v>
      </c>
      <c r="U6" s="336"/>
      <c r="V6" s="337"/>
      <c r="W6" s="335" t="s">
        <v>92</v>
      </c>
      <c r="X6" s="336"/>
      <c r="Y6" s="337"/>
      <c r="Z6" s="335" t="s">
        <v>93</v>
      </c>
      <c r="AA6" s="336"/>
      <c r="AB6" s="337"/>
      <c r="AC6" s="335" t="s">
        <v>94</v>
      </c>
      <c r="AD6" s="336"/>
      <c r="AE6" s="337"/>
      <c r="AF6" s="335" t="s">
        <v>95</v>
      </c>
      <c r="AG6" s="336"/>
      <c r="AH6" s="337"/>
      <c r="AI6" s="338" t="s">
        <v>96</v>
      </c>
      <c r="AJ6" s="339"/>
      <c r="AK6" s="340"/>
      <c r="AL6" s="338" t="s">
        <v>97</v>
      </c>
      <c r="AM6" s="339"/>
      <c r="AN6" s="340"/>
    </row>
    <row r="7" spans="1:40" x14ac:dyDescent="0.25">
      <c r="A7" s="346"/>
      <c r="B7" s="349"/>
      <c r="C7" s="352"/>
      <c r="D7" s="328" t="s">
        <v>14</v>
      </c>
      <c r="E7" s="329" t="s">
        <v>98</v>
      </c>
      <c r="F7" s="343" t="s">
        <v>50</v>
      </c>
      <c r="G7" s="321" t="s">
        <v>16</v>
      </c>
      <c r="H7" s="290" t="s">
        <v>17</v>
      </c>
      <c r="I7" s="293" t="s">
        <v>124</v>
      </c>
      <c r="J7" s="324" t="s">
        <v>18</v>
      </c>
      <c r="K7" s="328" t="s">
        <v>14</v>
      </c>
      <c r="L7" s="329" t="s">
        <v>17</v>
      </c>
      <c r="M7" s="330" t="s">
        <v>20</v>
      </c>
      <c r="N7" s="331" t="s">
        <v>14</v>
      </c>
      <c r="O7" s="329" t="s">
        <v>17</v>
      </c>
      <c r="P7" s="333" t="s">
        <v>20</v>
      </c>
      <c r="Q7" s="328" t="s">
        <v>14</v>
      </c>
      <c r="R7" s="329" t="s">
        <v>17</v>
      </c>
      <c r="S7" s="330" t="s">
        <v>20</v>
      </c>
      <c r="T7" s="328" t="s">
        <v>14</v>
      </c>
      <c r="U7" s="329" t="s">
        <v>17</v>
      </c>
      <c r="V7" s="330" t="s">
        <v>20</v>
      </c>
      <c r="W7" s="328" t="s">
        <v>14</v>
      </c>
      <c r="X7" s="329" t="s">
        <v>17</v>
      </c>
      <c r="Y7" s="330" t="s">
        <v>20</v>
      </c>
      <c r="Z7" s="328" t="s">
        <v>14</v>
      </c>
      <c r="AA7" s="329" t="s">
        <v>17</v>
      </c>
      <c r="AB7" s="330" t="s">
        <v>20</v>
      </c>
      <c r="AC7" s="328" t="s">
        <v>14</v>
      </c>
      <c r="AD7" s="329" t="s">
        <v>17</v>
      </c>
      <c r="AE7" s="330" t="s">
        <v>20</v>
      </c>
      <c r="AF7" s="328" t="s">
        <v>14</v>
      </c>
      <c r="AG7" s="329" t="s">
        <v>17</v>
      </c>
      <c r="AH7" s="330" t="s">
        <v>20</v>
      </c>
      <c r="AI7" s="321" t="s">
        <v>14</v>
      </c>
      <c r="AJ7" s="290" t="s">
        <v>17</v>
      </c>
      <c r="AK7" s="326" t="s">
        <v>20</v>
      </c>
      <c r="AL7" s="321" t="s">
        <v>14</v>
      </c>
      <c r="AM7" s="290" t="s">
        <v>17</v>
      </c>
      <c r="AN7" s="326" t="s">
        <v>20</v>
      </c>
    </row>
    <row r="8" spans="1:40" ht="15.75" thickBot="1" x14ac:dyDescent="0.3">
      <c r="A8" s="347"/>
      <c r="B8" s="350"/>
      <c r="C8" s="353"/>
      <c r="D8" s="341"/>
      <c r="E8" s="342"/>
      <c r="F8" s="344"/>
      <c r="G8" s="323"/>
      <c r="H8" s="292"/>
      <c r="I8" s="295"/>
      <c r="J8" s="325"/>
      <c r="K8" s="323"/>
      <c r="L8" s="292"/>
      <c r="M8" s="327"/>
      <c r="N8" s="332"/>
      <c r="O8" s="291"/>
      <c r="P8" s="334"/>
      <c r="Q8" s="323"/>
      <c r="R8" s="292"/>
      <c r="S8" s="327"/>
      <c r="T8" s="323"/>
      <c r="U8" s="292"/>
      <c r="V8" s="327"/>
      <c r="W8" s="323"/>
      <c r="X8" s="292"/>
      <c r="Y8" s="327"/>
      <c r="Z8" s="323"/>
      <c r="AA8" s="292"/>
      <c r="AB8" s="327"/>
      <c r="AC8" s="323"/>
      <c r="AD8" s="292"/>
      <c r="AE8" s="327"/>
      <c r="AF8" s="323"/>
      <c r="AG8" s="292"/>
      <c r="AH8" s="327"/>
      <c r="AI8" s="323"/>
      <c r="AJ8" s="292"/>
      <c r="AK8" s="327"/>
      <c r="AL8" s="323"/>
      <c r="AM8" s="292"/>
      <c r="AN8" s="327"/>
    </row>
    <row r="9" spans="1:40" ht="15.75" thickBot="1" x14ac:dyDescent="0.3">
      <c r="A9" s="158">
        <v>1</v>
      </c>
      <c r="B9" s="27">
        <v>2</v>
      </c>
      <c r="C9" s="81">
        <v>3</v>
      </c>
      <c r="D9" s="79">
        <v>4</v>
      </c>
      <c r="E9" s="80">
        <v>5</v>
      </c>
      <c r="F9" s="81">
        <v>6</v>
      </c>
      <c r="G9" s="79">
        <v>7</v>
      </c>
      <c r="H9" s="80">
        <v>8</v>
      </c>
      <c r="I9" s="81">
        <v>9</v>
      </c>
      <c r="J9" s="182">
        <v>10</v>
      </c>
      <c r="K9" s="88"/>
      <c r="L9" s="83"/>
      <c r="M9" s="84"/>
      <c r="N9" s="77"/>
      <c r="O9" s="75"/>
      <c r="P9" s="76"/>
      <c r="Q9" s="88"/>
      <c r="R9" s="83"/>
      <c r="S9" s="84"/>
      <c r="T9" s="88"/>
      <c r="U9" s="83"/>
      <c r="V9" s="84"/>
      <c r="W9" s="88"/>
      <c r="X9" s="83"/>
      <c r="Y9" s="84"/>
      <c r="Z9" s="88"/>
      <c r="AA9" s="83"/>
      <c r="AB9" s="84"/>
      <c r="AC9" s="88"/>
      <c r="AD9" s="83"/>
      <c r="AE9" s="84"/>
      <c r="AF9" s="88"/>
      <c r="AG9" s="83"/>
      <c r="AH9" s="84"/>
      <c r="AI9" s="83"/>
      <c r="AJ9" s="83"/>
      <c r="AK9" s="83"/>
      <c r="AL9" s="83"/>
      <c r="AM9" s="83"/>
      <c r="AN9" s="83"/>
    </row>
    <row r="10" spans="1:40" x14ac:dyDescent="0.25">
      <c r="A10" s="162">
        <v>1</v>
      </c>
      <c r="B10" s="163" t="s">
        <v>24</v>
      </c>
      <c r="C10" s="42"/>
      <c r="D10" s="39"/>
      <c r="E10" s="41"/>
      <c r="F10" s="42"/>
      <c r="G10" s="39">
        <v>0</v>
      </c>
      <c r="H10" s="41">
        <v>0</v>
      </c>
      <c r="I10" s="143">
        <v>0</v>
      </c>
      <c r="J10" s="121"/>
      <c r="K10" s="43"/>
      <c r="L10" s="41"/>
      <c r="M10" s="42"/>
      <c r="N10" s="39"/>
      <c r="O10" s="41"/>
      <c r="P10" s="42"/>
      <c r="Q10" s="39"/>
      <c r="R10" s="41"/>
      <c r="S10" s="42"/>
      <c r="T10" s="39"/>
      <c r="U10" s="41"/>
      <c r="V10" s="42"/>
      <c r="W10" s="65"/>
      <c r="X10" s="45"/>
      <c r="Y10" s="125"/>
      <c r="Z10" s="39"/>
      <c r="AA10" s="41"/>
      <c r="AB10" s="42"/>
      <c r="AC10" s="39"/>
      <c r="AD10" s="41"/>
      <c r="AE10" s="42"/>
      <c r="AF10" s="39"/>
      <c r="AG10" s="41"/>
      <c r="AH10" s="143"/>
      <c r="AI10" s="39"/>
      <c r="AJ10" s="41"/>
      <c r="AK10" s="42"/>
      <c r="AL10" s="39"/>
      <c r="AM10" s="41"/>
      <c r="AN10" s="42"/>
    </row>
    <row r="11" spans="1:40" x14ac:dyDescent="0.25">
      <c r="A11" s="127">
        <v>2</v>
      </c>
      <c r="B11" s="164" t="s">
        <v>25</v>
      </c>
      <c r="C11" s="52" t="s">
        <v>26</v>
      </c>
      <c r="D11" s="46">
        <v>100</v>
      </c>
      <c r="E11" s="50">
        <v>2</v>
      </c>
      <c r="F11" s="51">
        <v>94578.358007352406</v>
      </c>
      <c r="G11" s="46">
        <v>463</v>
      </c>
      <c r="H11" s="50">
        <v>4</v>
      </c>
      <c r="I11" s="126">
        <v>274464.15000000002</v>
      </c>
      <c r="J11" s="20"/>
      <c r="K11" s="49"/>
      <c r="L11" s="50"/>
      <c r="M11" s="52"/>
      <c r="N11" s="46"/>
      <c r="O11" s="50"/>
      <c r="P11" s="52"/>
      <c r="Q11" s="46">
        <v>93</v>
      </c>
      <c r="R11" s="50">
        <v>1</v>
      </c>
      <c r="S11" s="52">
        <f>62105.7</f>
        <v>62105.7</v>
      </c>
      <c r="T11" s="46">
        <v>26</v>
      </c>
      <c r="U11" s="50">
        <v>1</v>
      </c>
      <c r="V11" s="52">
        <f>18803.77</f>
        <v>18803.77</v>
      </c>
      <c r="W11" s="49"/>
      <c r="X11" s="50"/>
      <c r="Y11" s="126"/>
      <c r="Z11" s="46">
        <v>229</v>
      </c>
      <c r="AA11" s="50">
        <v>1</v>
      </c>
      <c r="AB11" s="52">
        <f>123020.86</f>
        <v>123020.86</v>
      </c>
      <c r="AC11" s="46">
        <v>115</v>
      </c>
      <c r="AD11" s="50">
        <v>1</v>
      </c>
      <c r="AE11" s="52">
        <f>70533.82</f>
        <v>70533.820000000007</v>
      </c>
      <c r="AF11" s="46"/>
      <c r="AG11" s="50"/>
      <c r="AH11" s="126"/>
      <c r="AI11" s="46"/>
      <c r="AJ11" s="50"/>
      <c r="AK11" s="52"/>
      <c r="AL11" s="46"/>
      <c r="AM11" s="50"/>
      <c r="AN11" s="52"/>
    </row>
    <row r="12" spans="1:40" x14ac:dyDescent="0.25">
      <c r="A12" s="127">
        <v>3</v>
      </c>
      <c r="B12" s="164" t="s">
        <v>27</v>
      </c>
      <c r="C12" s="52" t="s">
        <v>26</v>
      </c>
      <c r="D12" s="46"/>
      <c r="E12" s="50"/>
      <c r="F12" s="51">
        <v>2846.3181697205277</v>
      </c>
      <c r="G12" s="46">
        <v>300</v>
      </c>
      <c r="H12" s="50">
        <v>1</v>
      </c>
      <c r="I12" s="126">
        <v>25978.45</v>
      </c>
      <c r="J12" s="20"/>
      <c r="K12" s="49">
        <f>300</f>
        <v>300</v>
      </c>
      <c r="L12" s="50">
        <v>1</v>
      </c>
      <c r="M12" s="52">
        <f>25978.45</f>
        <v>25978.45</v>
      </c>
      <c r="N12" s="46"/>
      <c r="O12" s="50"/>
      <c r="P12" s="52"/>
      <c r="Q12" s="46"/>
      <c r="R12" s="50"/>
      <c r="S12" s="52"/>
      <c r="T12" s="46"/>
      <c r="U12" s="50"/>
      <c r="V12" s="52"/>
      <c r="W12" s="49"/>
      <c r="X12" s="50"/>
      <c r="Y12" s="126"/>
      <c r="Z12" s="46"/>
      <c r="AA12" s="50"/>
      <c r="AB12" s="52"/>
      <c r="AC12" s="46"/>
      <c r="AD12" s="50"/>
      <c r="AE12" s="52"/>
      <c r="AF12" s="46"/>
      <c r="AG12" s="50"/>
      <c r="AH12" s="126"/>
      <c r="AI12" s="46"/>
      <c r="AJ12" s="50"/>
      <c r="AK12" s="52"/>
      <c r="AL12" s="46"/>
      <c r="AM12" s="50"/>
      <c r="AN12" s="52"/>
    </row>
    <row r="13" spans="1:40" x14ac:dyDescent="0.25">
      <c r="A13" s="127">
        <v>4</v>
      </c>
      <c r="B13" s="164" t="s">
        <v>28</v>
      </c>
      <c r="C13" s="52" t="s">
        <v>29</v>
      </c>
      <c r="D13" s="46"/>
      <c r="E13" s="50"/>
      <c r="F13" s="51">
        <v>0</v>
      </c>
      <c r="G13" s="46">
        <v>0</v>
      </c>
      <c r="H13" s="50">
        <v>0</v>
      </c>
      <c r="I13" s="126">
        <v>0</v>
      </c>
      <c r="J13" s="20"/>
      <c r="K13" s="49"/>
      <c r="L13" s="50"/>
      <c r="M13" s="52"/>
      <c r="N13" s="46"/>
      <c r="O13" s="50"/>
      <c r="P13" s="52"/>
      <c r="Q13" s="46"/>
      <c r="R13" s="50"/>
      <c r="S13" s="52"/>
      <c r="T13" s="46"/>
      <c r="U13" s="50"/>
      <c r="V13" s="52"/>
      <c r="W13" s="49"/>
      <c r="X13" s="50"/>
      <c r="Y13" s="126"/>
      <c r="Z13" s="46"/>
      <c r="AA13" s="50"/>
      <c r="AB13" s="52"/>
      <c r="AC13" s="46"/>
      <c r="AD13" s="50"/>
      <c r="AE13" s="52"/>
      <c r="AF13" s="46"/>
      <c r="AG13" s="50"/>
      <c r="AH13" s="126"/>
      <c r="AI13" s="46"/>
      <c r="AJ13" s="50"/>
      <c r="AK13" s="52"/>
      <c r="AL13" s="46"/>
      <c r="AM13" s="50"/>
      <c r="AN13" s="52"/>
    </row>
    <row r="14" spans="1:40" x14ac:dyDescent="0.25">
      <c r="A14" s="127">
        <v>5</v>
      </c>
      <c r="B14" s="164" t="s">
        <v>30</v>
      </c>
      <c r="C14" s="52"/>
      <c r="D14" s="46"/>
      <c r="E14" s="50"/>
      <c r="F14" s="51">
        <v>0</v>
      </c>
      <c r="G14" s="46">
        <v>0</v>
      </c>
      <c r="H14" s="50">
        <v>0</v>
      </c>
      <c r="I14" s="126">
        <v>0</v>
      </c>
      <c r="J14" s="20"/>
      <c r="K14" s="49"/>
      <c r="L14" s="50"/>
      <c r="M14" s="52"/>
      <c r="N14" s="46"/>
      <c r="O14" s="50"/>
      <c r="P14" s="52"/>
      <c r="Q14" s="46"/>
      <c r="R14" s="50"/>
      <c r="S14" s="52"/>
      <c r="T14" s="46"/>
      <c r="U14" s="50"/>
      <c r="V14" s="52"/>
      <c r="W14" s="49"/>
      <c r="X14" s="50"/>
      <c r="Y14" s="126"/>
      <c r="Z14" s="46"/>
      <c r="AA14" s="50"/>
      <c r="AB14" s="52"/>
      <c r="AC14" s="46"/>
      <c r="AD14" s="50"/>
      <c r="AE14" s="52"/>
      <c r="AF14" s="46"/>
      <c r="AG14" s="50"/>
      <c r="AH14" s="126"/>
      <c r="AI14" s="46"/>
      <c r="AJ14" s="50"/>
      <c r="AK14" s="52"/>
      <c r="AL14" s="46"/>
      <c r="AM14" s="50"/>
      <c r="AN14" s="52"/>
    </row>
    <row r="15" spans="1:40" x14ac:dyDescent="0.25">
      <c r="A15" s="127">
        <v>6</v>
      </c>
      <c r="B15" s="164" t="s">
        <v>31</v>
      </c>
      <c r="C15" s="52" t="s">
        <v>26</v>
      </c>
      <c r="D15" s="46">
        <v>632</v>
      </c>
      <c r="E15" s="50">
        <v>7</v>
      </c>
      <c r="F15" s="51">
        <v>458570.17460294487</v>
      </c>
      <c r="G15" s="46">
        <v>942</v>
      </c>
      <c r="H15" s="50">
        <v>7</v>
      </c>
      <c r="I15" s="126">
        <v>411423.26000000007</v>
      </c>
      <c r="J15" s="20"/>
      <c r="K15" s="49">
        <f>70</f>
        <v>70</v>
      </c>
      <c r="L15" s="50">
        <v>1</v>
      </c>
      <c r="M15" s="52">
        <f>31542.54</f>
        <v>31542.54</v>
      </c>
      <c r="N15" s="46">
        <f>40+100+20</f>
        <v>160</v>
      </c>
      <c r="O15" s="50">
        <v>1</v>
      </c>
      <c r="P15" s="52">
        <f>10315+44487.97+9203.09+900.76</f>
        <v>64906.82</v>
      </c>
      <c r="Q15" s="46">
        <f>130</f>
        <v>130</v>
      </c>
      <c r="R15" s="50">
        <v>1</v>
      </c>
      <c r="S15" s="52">
        <f>42535.93+11193.31</f>
        <v>53729.24</v>
      </c>
      <c r="T15" s="46">
        <v>100</v>
      </c>
      <c r="U15" s="50">
        <v>1</v>
      </c>
      <c r="V15" s="52">
        <f>44487.97</f>
        <v>44487.97</v>
      </c>
      <c r="W15" s="49"/>
      <c r="X15" s="50"/>
      <c r="Y15" s="126"/>
      <c r="Z15" s="46"/>
      <c r="AA15" s="50"/>
      <c r="AB15" s="52"/>
      <c r="AC15" s="46">
        <v>2</v>
      </c>
      <c r="AD15" s="50">
        <v>1</v>
      </c>
      <c r="AE15" s="52">
        <f>954.67</f>
        <v>954.67</v>
      </c>
      <c r="AF15" s="46"/>
      <c r="AG15" s="50"/>
      <c r="AH15" s="126"/>
      <c r="AI15" s="46">
        <f>220+220</f>
        <v>440</v>
      </c>
      <c r="AJ15" s="50">
        <v>1</v>
      </c>
      <c r="AK15" s="52">
        <f>101096.97+98369.96</f>
        <v>199466.93</v>
      </c>
      <c r="AL15" s="46">
        <f>40</f>
        <v>40</v>
      </c>
      <c r="AM15" s="50">
        <v>1</v>
      </c>
      <c r="AN15" s="52">
        <f>16335.09</f>
        <v>16335.09</v>
      </c>
    </row>
    <row r="16" spans="1:40" x14ac:dyDescent="0.25">
      <c r="A16" s="165">
        <v>7</v>
      </c>
      <c r="B16" s="166" t="s">
        <v>32</v>
      </c>
      <c r="C16" s="73" t="s">
        <v>33</v>
      </c>
      <c r="D16" s="68"/>
      <c r="E16" s="71"/>
      <c r="F16" s="51">
        <v>0</v>
      </c>
      <c r="G16" s="46">
        <v>0</v>
      </c>
      <c r="H16" s="50">
        <v>0</v>
      </c>
      <c r="I16" s="126">
        <v>0</v>
      </c>
      <c r="J16" s="20"/>
      <c r="K16" s="49"/>
      <c r="L16" s="50"/>
      <c r="M16" s="52"/>
      <c r="N16" s="46"/>
      <c r="O16" s="50"/>
      <c r="P16" s="52"/>
      <c r="Q16" s="46"/>
      <c r="R16" s="50"/>
      <c r="S16" s="52"/>
      <c r="T16" s="46"/>
      <c r="U16" s="50"/>
      <c r="V16" s="52"/>
      <c r="W16" s="49"/>
      <c r="X16" s="50"/>
      <c r="Y16" s="126"/>
      <c r="Z16" s="46"/>
      <c r="AA16" s="50"/>
      <c r="AB16" s="52"/>
      <c r="AC16" s="46"/>
      <c r="AD16" s="50"/>
      <c r="AE16" s="52"/>
      <c r="AF16" s="46"/>
      <c r="AG16" s="50"/>
      <c r="AH16" s="126"/>
      <c r="AI16" s="46"/>
      <c r="AJ16" s="50"/>
      <c r="AK16" s="52"/>
      <c r="AL16" s="46"/>
      <c r="AM16" s="50"/>
      <c r="AN16" s="52"/>
    </row>
    <row r="17" spans="1:40" x14ac:dyDescent="0.25">
      <c r="A17" s="127">
        <v>8</v>
      </c>
      <c r="B17" s="164" t="s">
        <v>34</v>
      </c>
      <c r="C17" s="167"/>
      <c r="D17" s="60"/>
      <c r="E17" s="58"/>
      <c r="F17" s="168">
        <v>0</v>
      </c>
      <c r="G17" s="169">
        <v>0</v>
      </c>
      <c r="H17" s="170">
        <v>0</v>
      </c>
      <c r="I17" s="186">
        <v>0</v>
      </c>
      <c r="J17" s="200"/>
      <c r="K17" s="147"/>
      <c r="L17" s="58"/>
      <c r="M17" s="171"/>
      <c r="N17" s="172"/>
      <c r="O17" s="173"/>
      <c r="P17" s="171"/>
      <c r="Q17" s="172"/>
      <c r="R17" s="173"/>
      <c r="S17" s="171"/>
      <c r="T17" s="172"/>
      <c r="U17" s="173"/>
      <c r="V17" s="171"/>
      <c r="W17" s="174"/>
      <c r="X17" s="173"/>
      <c r="Y17" s="175"/>
      <c r="Z17" s="172"/>
      <c r="AA17" s="173"/>
      <c r="AB17" s="171"/>
      <c r="AC17" s="172"/>
      <c r="AD17" s="173"/>
      <c r="AE17" s="171"/>
      <c r="AF17" s="172"/>
      <c r="AG17" s="173"/>
      <c r="AH17" s="175"/>
      <c r="AI17" s="60"/>
      <c r="AJ17" s="58"/>
      <c r="AK17" s="171"/>
      <c r="AL17" s="60"/>
      <c r="AM17" s="58"/>
      <c r="AN17" s="171"/>
    </row>
    <row r="18" spans="1:40" ht="47.25" customHeight="1" x14ac:dyDescent="0.25">
      <c r="A18" s="44">
        <v>9</v>
      </c>
      <c r="B18" s="176" t="s">
        <v>35</v>
      </c>
      <c r="C18" s="66" t="s">
        <v>33</v>
      </c>
      <c r="D18" s="62"/>
      <c r="E18" s="45"/>
      <c r="F18" s="55">
        <v>0</v>
      </c>
      <c r="G18" s="56">
        <v>6</v>
      </c>
      <c r="H18" s="57">
        <v>4</v>
      </c>
      <c r="I18" s="145">
        <v>26505.71</v>
      </c>
      <c r="J18" s="201"/>
      <c r="K18" s="49">
        <f>1</f>
        <v>1</v>
      </c>
      <c r="L18" s="50">
        <v>1</v>
      </c>
      <c r="M18" s="52">
        <f>1871.16</f>
        <v>1871.16</v>
      </c>
      <c r="N18" s="46"/>
      <c r="O18" s="50">
        <v>1</v>
      </c>
      <c r="P18" s="52">
        <f>5191.19</f>
        <v>5191.1899999999996</v>
      </c>
      <c r="Q18" s="46">
        <v>1</v>
      </c>
      <c r="R18" s="50">
        <v>1</v>
      </c>
      <c r="S18" s="52">
        <f>2055.36</f>
        <v>2055.36</v>
      </c>
      <c r="T18" s="46"/>
      <c r="U18" s="50"/>
      <c r="V18" s="52"/>
      <c r="W18" s="49"/>
      <c r="X18" s="50"/>
      <c r="Y18" s="126"/>
      <c r="Z18" s="46"/>
      <c r="AA18" s="50"/>
      <c r="AB18" s="52"/>
      <c r="AC18" s="46"/>
      <c r="AD18" s="50"/>
      <c r="AE18" s="52"/>
      <c r="AF18" s="46">
        <f>4</f>
        <v>4</v>
      </c>
      <c r="AG18" s="50">
        <v>1</v>
      </c>
      <c r="AH18" s="126">
        <f>17388</f>
        <v>17388</v>
      </c>
      <c r="AI18" s="46"/>
      <c r="AJ18" s="50"/>
      <c r="AK18" s="52"/>
      <c r="AL18" s="46"/>
      <c r="AM18" s="50"/>
      <c r="AN18" s="52"/>
    </row>
    <row r="19" spans="1:40" x14ac:dyDescent="0.25">
      <c r="A19" s="127">
        <v>10</v>
      </c>
      <c r="B19" s="164" t="s">
        <v>36</v>
      </c>
      <c r="C19" s="52"/>
      <c r="D19" s="46"/>
      <c r="E19" s="50"/>
      <c r="F19" s="51">
        <v>0</v>
      </c>
      <c r="G19" s="51">
        <v>0</v>
      </c>
      <c r="H19" s="177">
        <v>0</v>
      </c>
      <c r="I19" s="187">
        <v>0</v>
      </c>
      <c r="J19" s="202"/>
      <c r="K19" s="49"/>
      <c r="L19" s="50"/>
      <c r="M19" s="52"/>
      <c r="N19" s="46"/>
      <c r="O19" s="50"/>
      <c r="P19" s="52"/>
      <c r="Q19" s="46"/>
      <c r="R19" s="50"/>
      <c r="S19" s="52"/>
      <c r="T19" s="46"/>
      <c r="U19" s="50"/>
      <c r="V19" s="52"/>
      <c r="W19" s="49"/>
      <c r="X19" s="50"/>
      <c r="Y19" s="126"/>
      <c r="Z19" s="46"/>
      <c r="AA19" s="50"/>
      <c r="AB19" s="52"/>
      <c r="AC19" s="46"/>
      <c r="AD19" s="50"/>
      <c r="AE19" s="52"/>
      <c r="AF19" s="46"/>
      <c r="AG19" s="50"/>
      <c r="AH19" s="126"/>
      <c r="AI19" s="46"/>
      <c r="AJ19" s="50"/>
      <c r="AK19" s="52"/>
      <c r="AL19" s="46"/>
      <c r="AM19" s="50"/>
      <c r="AN19" s="52"/>
    </row>
    <row r="20" spans="1:40" x14ac:dyDescent="0.25">
      <c r="A20" s="127">
        <v>11</v>
      </c>
      <c r="B20" s="164" t="s">
        <v>37</v>
      </c>
      <c r="C20" s="52" t="s">
        <v>38</v>
      </c>
      <c r="D20" s="46">
        <v>18</v>
      </c>
      <c r="E20" s="50">
        <v>6</v>
      </c>
      <c r="F20" s="51">
        <v>264218.35695544997</v>
      </c>
      <c r="G20" s="46">
        <v>8</v>
      </c>
      <c r="H20" s="50">
        <v>2</v>
      </c>
      <c r="I20" s="126">
        <v>83405.109999999986</v>
      </c>
      <c r="J20" s="20"/>
      <c r="K20" s="49">
        <v>4</v>
      </c>
      <c r="L20" s="50">
        <v>1</v>
      </c>
      <c r="M20" s="52">
        <f>46386.09</f>
        <v>46386.09</v>
      </c>
      <c r="N20" s="46">
        <v>4</v>
      </c>
      <c r="O20" s="50">
        <v>1</v>
      </c>
      <c r="P20" s="52">
        <f>37019.02</f>
        <v>37019.019999999997</v>
      </c>
      <c r="Q20" s="46"/>
      <c r="R20" s="50"/>
      <c r="S20" s="52"/>
      <c r="T20" s="46"/>
      <c r="U20" s="50"/>
      <c r="V20" s="52"/>
      <c r="W20" s="49"/>
      <c r="X20" s="50"/>
      <c r="Y20" s="126"/>
      <c r="Z20" s="46"/>
      <c r="AA20" s="50"/>
      <c r="AB20" s="52"/>
      <c r="AC20" s="46"/>
      <c r="AD20" s="50"/>
      <c r="AE20" s="52"/>
      <c r="AF20" s="46"/>
      <c r="AG20" s="50"/>
      <c r="AH20" s="126"/>
      <c r="AI20" s="46"/>
      <c r="AJ20" s="50"/>
      <c r="AK20" s="52"/>
      <c r="AL20" s="46"/>
      <c r="AM20" s="50"/>
      <c r="AN20" s="52"/>
    </row>
    <row r="21" spans="1:40" x14ac:dyDescent="0.25">
      <c r="A21" s="127">
        <v>12</v>
      </c>
      <c r="B21" s="164" t="s">
        <v>39</v>
      </c>
      <c r="C21" s="52" t="s">
        <v>29</v>
      </c>
      <c r="D21" s="46">
        <v>1259</v>
      </c>
      <c r="E21" s="50">
        <v>10</v>
      </c>
      <c r="F21" s="51">
        <v>352540.51421121269</v>
      </c>
      <c r="G21" s="46">
        <v>140</v>
      </c>
      <c r="H21" s="50">
        <v>10</v>
      </c>
      <c r="I21" s="126">
        <v>627356.72</v>
      </c>
      <c r="J21" s="20"/>
      <c r="K21" s="49">
        <v>20</v>
      </c>
      <c r="L21" s="50">
        <v>1</v>
      </c>
      <c r="M21" s="52">
        <f>13893.79+22721.66+13893.36</f>
        <v>50508.81</v>
      </c>
      <c r="N21" s="46">
        <v>9</v>
      </c>
      <c r="O21" s="50">
        <v>1</v>
      </c>
      <c r="P21" s="52">
        <f>15517.92+15517.44</f>
        <v>31035.360000000001</v>
      </c>
      <c r="Q21" s="46">
        <f>8+10</f>
        <v>18</v>
      </c>
      <c r="R21" s="50">
        <v>1</v>
      </c>
      <c r="S21" s="52">
        <f>40248.21+31852.53</f>
        <v>72100.739999999991</v>
      </c>
      <c r="T21" s="46">
        <f>19+9</f>
        <v>28</v>
      </c>
      <c r="U21" s="50">
        <v>1</v>
      </c>
      <c r="V21" s="52">
        <f>12174.4+18350.02+22361.24</f>
        <v>52885.66</v>
      </c>
      <c r="W21" s="49"/>
      <c r="X21" s="50">
        <v>1</v>
      </c>
      <c r="Y21" s="126">
        <f>5817.91</f>
        <v>5817.91</v>
      </c>
      <c r="Z21" s="46">
        <f>6+8+10+6</f>
        <v>30</v>
      </c>
      <c r="AA21" s="50">
        <v>1</v>
      </c>
      <c r="AB21" s="52">
        <f>22344.64+26691.84+46026.68+28267.55+22343.94</f>
        <v>145674.65</v>
      </c>
      <c r="AC21" s="46">
        <f>10</f>
        <v>10</v>
      </c>
      <c r="AD21" s="50">
        <v>1</v>
      </c>
      <c r="AE21" s="52">
        <f>15650.45+23181.76+18958.77+19133.75+15649.97</f>
        <v>92574.7</v>
      </c>
      <c r="AF21" s="46">
        <f>7</f>
        <v>7</v>
      </c>
      <c r="AG21" s="50">
        <v>1</v>
      </c>
      <c r="AH21" s="126">
        <f>22482.18</f>
        <v>22482.18</v>
      </c>
      <c r="AI21" s="46">
        <v>5</v>
      </c>
      <c r="AJ21" s="50">
        <v>1</v>
      </c>
      <c r="AK21" s="52">
        <f>20576.74+33941.03+20576.1</f>
        <v>75093.87</v>
      </c>
      <c r="AL21" s="46">
        <f>9+10</f>
        <v>19</v>
      </c>
      <c r="AM21" s="50">
        <v>1</v>
      </c>
      <c r="AN21" s="52">
        <f>25242.45+28698.72+25241.67</f>
        <v>79182.84</v>
      </c>
    </row>
    <row r="22" spans="1:40" x14ac:dyDescent="0.25">
      <c r="A22" s="127">
        <v>13</v>
      </c>
      <c r="B22" s="164" t="s">
        <v>40</v>
      </c>
      <c r="C22" s="52" t="s">
        <v>29</v>
      </c>
      <c r="D22" s="46">
        <v>529</v>
      </c>
      <c r="E22" s="50">
        <v>10</v>
      </c>
      <c r="F22" s="51">
        <v>179682.36403033976</v>
      </c>
      <c r="G22" s="46">
        <v>155</v>
      </c>
      <c r="H22" s="50">
        <v>8</v>
      </c>
      <c r="I22" s="126">
        <v>424364.68</v>
      </c>
      <c r="J22" s="20"/>
      <c r="K22" s="49">
        <f>9+7+9+20</f>
        <v>45</v>
      </c>
      <c r="L22" s="50">
        <v>1</v>
      </c>
      <c r="M22" s="52">
        <f>19384.96+20220.64+13073.46+13583.37</f>
        <v>66262.429999999993</v>
      </c>
      <c r="N22" s="46"/>
      <c r="O22" s="50"/>
      <c r="P22" s="52"/>
      <c r="Q22" s="46">
        <f>8+10+8</f>
        <v>26</v>
      </c>
      <c r="R22" s="50">
        <v>1</v>
      </c>
      <c r="S22" s="52">
        <f>21996.45+28282.24+45342.24+23236.61+21995.76</f>
        <v>140853.29999999999</v>
      </c>
      <c r="T22" s="46">
        <f>9+7+9</f>
        <v>25</v>
      </c>
      <c r="U22" s="50">
        <v>1</v>
      </c>
      <c r="V22" s="52">
        <f>12273.78+21223.14+15689.1</f>
        <v>49186.02</v>
      </c>
      <c r="W22" s="49">
        <v>8</v>
      </c>
      <c r="X22" s="50">
        <v>1</v>
      </c>
      <c r="Y22" s="126">
        <f>14241.98+18284.32+14241.54</f>
        <v>46767.839999999997</v>
      </c>
      <c r="Z22" s="46">
        <f>6+8</f>
        <v>14</v>
      </c>
      <c r="AA22" s="50">
        <v>1</v>
      </c>
      <c r="AB22" s="52">
        <f>11418.29+9793.86</f>
        <v>21212.15</v>
      </c>
      <c r="AC22" s="46">
        <f>16</f>
        <v>16</v>
      </c>
      <c r="AD22" s="50">
        <v>1</v>
      </c>
      <c r="AE22" s="52">
        <f>26774.48</f>
        <v>26774.48</v>
      </c>
      <c r="AF22" s="46">
        <f>12+9</f>
        <v>21</v>
      </c>
      <c r="AG22" s="50">
        <v>1</v>
      </c>
      <c r="AH22" s="126">
        <f>15497.7+10624.99+23141.38+15497.22</f>
        <v>64761.290000000008</v>
      </c>
      <c r="AI22" s="46">
        <f>9</f>
        <v>9</v>
      </c>
      <c r="AJ22" s="50">
        <v>1</v>
      </c>
      <c r="AK22" s="52">
        <f>8547.17</f>
        <v>8547.17</v>
      </c>
      <c r="AL22" s="46"/>
      <c r="AM22" s="50"/>
      <c r="AN22" s="52"/>
    </row>
    <row r="23" spans="1:40" x14ac:dyDescent="0.25">
      <c r="A23" s="127"/>
      <c r="B23" s="164" t="s">
        <v>41</v>
      </c>
      <c r="C23" s="52" t="s">
        <v>29</v>
      </c>
      <c r="D23" s="46">
        <v>130</v>
      </c>
      <c r="E23" s="50">
        <v>10</v>
      </c>
      <c r="F23" s="51">
        <v>78217.387971746444</v>
      </c>
      <c r="G23" s="46">
        <v>0</v>
      </c>
      <c r="H23" s="50">
        <v>0</v>
      </c>
      <c r="I23" s="126">
        <v>0</v>
      </c>
      <c r="J23" s="20"/>
      <c r="K23" s="49"/>
      <c r="L23" s="50"/>
      <c r="M23" s="52"/>
      <c r="N23" s="46"/>
      <c r="O23" s="50"/>
      <c r="P23" s="52"/>
      <c r="Q23" s="46"/>
      <c r="R23" s="50"/>
      <c r="S23" s="52"/>
      <c r="T23" s="46"/>
      <c r="U23" s="50"/>
      <c r="V23" s="52"/>
      <c r="W23" s="49"/>
      <c r="X23" s="50"/>
      <c r="Y23" s="126"/>
      <c r="Z23" s="46"/>
      <c r="AA23" s="50"/>
      <c r="AB23" s="52"/>
      <c r="AC23" s="46"/>
      <c r="AD23" s="50"/>
      <c r="AE23" s="52"/>
      <c r="AF23" s="46"/>
      <c r="AG23" s="50"/>
      <c r="AH23" s="126"/>
      <c r="AI23" s="46"/>
      <c r="AJ23" s="50"/>
      <c r="AK23" s="52"/>
      <c r="AL23" s="46"/>
      <c r="AM23" s="50"/>
      <c r="AN23" s="52"/>
    </row>
    <row r="24" spans="1:40" x14ac:dyDescent="0.25">
      <c r="A24" s="127">
        <v>14</v>
      </c>
      <c r="B24" s="164" t="s">
        <v>42</v>
      </c>
      <c r="C24" s="52" t="s">
        <v>29</v>
      </c>
      <c r="D24" s="46">
        <v>967</v>
      </c>
      <c r="E24" s="50">
        <v>10</v>
      </c>
      <c r="F24" s="51">
        <v>56412.802910430641</v>
      </c>
      <c r="G24" s="46">
        <v>100</v>
      </c>
      <c r="H24" s="50">
        <v>1</v>
      </c>
      <c r="I24" s="126">
        <v>17465.28</v>
      </c>
      <c r="J24" s="20"/>
      <c r="K24" s="49"/>
      <c r="L24" s="50"/>
      <c r="M24" s="52"/>
      <c r="N24" s="46"/>
      <c r="O24" s="50"/>
      <c r="P24" s="52"/>
      <c r="Q24" s="46">
        <v>100</v>
      </c>
      <c r="R24" s="50">
        <v>1</v>
      </c>
      <c r="S24" s="52">
        <f>17465.28</f>
        <v>17465.28</v>
      </c>
      <c r="T24" s="46"/>
      <c r="U24" s="50"/>
      <c r="V24" s="52"/>
      <c r="W24" s="49"/>
      <c r="X24" s="50"/>
      <c r="Y24" s="126"/>
      <c r="Z24" s="46"/>
      <c r="AA24" s="50"/>
      <c r="AB24" s="52"/>
      <c r="AC24" s="46"/>
      <c r="AD24" s="50"/>
      <c r="AE24" s="52"/>
      <c r="AF24" s="46"/>
      <c r="AG24" s="50"/>
      <c r="AH24" s="126"/>
      <c r="AI24" s="46"/>
      <c r="AJ24" s="50"/>
      <c r="AK24" s="52"/>
      <c r="AL24" s="46"/>
      <c r="AM24" s="50"/>
      <c r="AN24" s="52"/>
    </row>
    <row r="25" spans="1:40" x14ac:dyDescent="0.25">
      <c r="A25" s="127">
        <v>15</v>
      </c>
      <c r="B25" s="166" t="s">
        <v>43</v>
      </c>
      <c r="C25" s="73"/>
      <c r="D25" s="68"/>
      <c r="E25" s="71"/>
      <c r="F25" s="51">
        <v>0</v>
      </c>
      <c r="G25" s="46"/>
      <c r="H25" s="50"/>
      <c r="I25" s="126">
        <v>0</v>
      </c>
      <c r="J25" s="20"/>
      <c r="K25" s="49"/>
      <c r="L25" s="50"/>
      <c r="M25" s="52"/>
      <c r="N25" s="46"/>
      <c r="O25" s="50"/>
      <c r="P25" s="52"/>
      <c r="Q25" s="46"/>
      <c r="R25" s="50"/>
      <c r="S25" s="52"/>
      <c r="T25" s="46"/>
      <c r="U25" s="50"/>
      <c r="V25" s="52"/>
      <c r="W25" s="49"/>
      <c r="X25" s="50"/>
      <c r="Y25" s="126"/>
      <c r="Z25" s="46"/>
      <c r="AA25" s="50"/>
      <c r="AB25" s="52"/>
      <c r="AC25" s="46"/>
      <c r="AD25" s="50"/>
      <c r="AE25" s="52"/>
      <c r="AF25" s="46"/>
      <c r="AG25" s="50"/>
      <c r="AH25" s="126"/>
      <c r="AI25" s="46"/>
      <c r="AJ25" s="50"/>
      <c r="AK25" s="52"/>
      <c r="AL25" s="46"/>
      <c r="AM25" s="50"/>
      <c r="AN25" s="52"/>
    </row>
    <row r="26" spans="1:40" x14ac:dyDescent="0.25">
      <c r="A26" s="127">
        <v>16</v>
      </c>
      <c r="B26" s="164" t="s">
        <v>44</v>
      </c>
      <c r="C26" s="167"/>
      <c r="D26" s="60"/>
      <c r="E26" s="58"/>
      <c r="F26" s="178">
        <v>0</v>
      </c>
      <c r="G26" s="172"/>
      <c r="H26" s="173"/>
      <c r="I26" s="175">
        <v>0</v>
      </c>
      <c r="J26" s="203"/>
      <c r="K26" s="147"/>
      <c r="L26" s="58"/>
      <c r="M26" s="59"/>
      <c r="N26" s="60"/>
      <c r="O26" s="58"/>
      <c r="P26" s="59"/>
      <c r="Q26" s="60"/>
      <c r="R26" s="58"/>
      <c r="S26" s="59"/>
      <c r="T26" s="60"/>
      <c r="U26" s="58"/>
      <c r="V26" s="59"/>
      <c r="W26" s="147"/>
      <c r="X26" s="58"/>
      <c r="Y26" s="146"/>
      <c r="Z26" s="60"/>
      <c r="AA26" s="58"/>
      <c r="AB26" s="59"/>
      <c r="AC26" s="60"/>
      <c r="AD26" s="58"/>
      <c r="AE26" s="59"/>
      <c r="AF26" s="60"/>
      <c r="AG26" s="58"/>
      <c r="AH26" s="146"/>
      <c r="AI26" s="60"/>
      <c r="AJ26" s="58"/>
      <c r="AK26" s="59"/>
      <c r="AL26" s="60"/>
      <c r="AM26" s="58"/>
      <c r="AN26" s="59"/>
    </row>
    <row r="27" spans="1:40" ht="15.75" thickBot="1" x14ac:dyDescent="0.3">
      <c r="A27" s="165">
        <v>17</v>
      </c>
      <c r="B27" s="179" t="s">
        <v>45</v>
      </c>
      <c r="C27" s="157"/>
      <c r="D27" s="90"/>
      <c r="E27" s="86"/>
      <c r="F27" s="72">
        <v>0</v>
      </c>
      <c r="G27" s="68"/>
      <c r="H27" s="71"/>
      <c r="I27" s="129">
        <v>0</v>
      </c>
      <c r="J27" s="20"/>
      <c r="K27" s="74"/>
      <c r="L27" s="75"/>
      <c r="M27" s="76"/>
      <c r="N27" s="77"/>
      <c r="O27" s="75"/>
      <c r="P27" s="76"/>
      <c r="Q27" s="77"/>
      <c r="R27" s="75"/>
      <c r="S27" s="76"/>
      <c r="T27" s="77"/>
      <c r="U27" s="75"/>
      <c r="V27" s="76"/>
      <c r="W27" s="128"/>
      <c r="X27" s="71"/>
      <c r="Y27" s="129"/>
      <c r="Z27" s="77"/>
      <c r="AA27" s="75"/>
      <c r="AB27" s="76"/>
      <c r="AC27" s="77"/>
      <c r="AD27" s="75"/>
      <c r="AE27" s="76"/>
      <c r="AF27" s="77"/>
      <c r="AG27" s="75"/>
      <c r="AH27" s="151"/>
      <c r="AI27" s="77"/>
      <c r="AJ27" s="75"/>
      <c r="AK27" s="76"/>
      <c r="AL27" s="77"/>
      <c r="AM27" s="75"/>
      <c r="AN27" s="76"/>
    </row>
    <row r="28" spans="1:40" ht="15.75" thickBot="1" x14ac:dyDescent="0.3">
      <c r="A28" s="165">
        <v>18</v>
      </c>
      <c r="B28" s="180" t="s">
        <v>58</v>
      </c>
      <c r="C28" s="76"/>
      <c r="D28" s="77"/>
      <c r="E28" s="75"/>
      <c r="F28" s="150">
        <v>638810.18314080255</v>
      </c>
      <c r="G28" s="77"/>
      <c r="H28" s="75"/>
      <c r="I28" s="151"/>
      <c r="J28" s="38">
        <v>400118</v>
      </c>
      <c r="K28" s="89"/>
      <c r="L28" s="80"/>
      <c r="M28" s="81">
        <f>17735+73917</f>
        <v>91652</v>
      </c>
      <c r="N28" s="79"/>
      <c r="O28" s="80"/>
      <c r="P28" s="81">
        <f>25336+61598</f>
        <v>86934</v>
      </c>
      <c r="Q28" s="79"/>
      <c r="R28" s="80"/>
      <c r="S28" s="81">
        <f>17017</f>
        <v>17017</v>
      </c>
      <c r="T28" s="79"/>
      <c r="U28" s="80"/>
      <c r="V28" s="81">
        <f>25336+4757</f>
        <v>30093</v>
      </c>
      <c r="W28" s="79"/>
      <c r="X28" s="80"/>
      <c r="Y28" s="81"/>
      <c r="Z28" s="79"/>
      <c r="AA28" s="80"/>
      <c r="AB28" s="81">
        <f>41902</f>
        <v>41902</v>
      </c>
      <c r="AC28" s="79"/>
      <c r="AD28" s="80"/>
      <c r="AE28" s="81">
        <f>21042</f>
        <v>21042</v>
      </c>
      <c r="AF28" s="79"/>
      <c r="AG28" s="80"/>
      <c r="AH28" s="81"/>
      <c r="AI28" s="79"/>
      <c r="AJ28" s="80"/>
      <c r="AK28" s="81">
        <f>55739+55739</f>
        <v>111478</v>
      </c>
      <c r="AL28" s="79"/>
      <c r="AM28" s="80"/>
      <c r="AN28" s="81"/>
    </row>
    <row r="29" spans="1:40" ht="15.75" thickBot="1" x14ac:dyDescent="0.3">
      <c r="A29" s="159"/>
      <c r="B29" s="89" t="s">
        <v>47</v>
      </c>
      <c r="C29" s="81"/>
      <c r="D29" s="89"/>
      <c r="E29" s="130"/>
      <c r="F29" s="181">
        <f>SUM(F11:F28)</f>
        <v>2125876.46</v>
      </c>
      <c r="G29" s="159">
        <f>SUM(G11:G28)</f>
        <v>2114</v>
      </c>
      <c r="H29" s="158"/>
      <c r="I29" s="181">
        <f>SUM(I10:I28)+J28</f>
        <v>2291081.36</v>
      </c>
      <c r="J29" s="199"/>
      <c r="K29" s="80"/>
      <c r="L29" s="80"/>
      <c r="M29" s="80">
        <f>SUM(M10:M27)+M28</f>
        <v>314201.48</v>
      </c>
      <c r="N29" s="80"/>
      <c r="O29" s="80"/>
      <c r="P29" s="80">
        <f>SUM(P10:P27)+P28</f>
        <v>225086.39</v>
      </c>
      <c r="Q29" s="80"/>
      <c r="R29" s="80"/>
      <c r="S29" s="80">
        <f>SUM(S10:S27)+S28</f>
        <v>365326.62</v>
      </c>
      <c r="T29" s="80"/>
      <c r="U29" s="80"/>
      <c r="V29" s="80">
        <f>SUM(V10:V27)+V28</f>
        <v>195456.42</v>
      </c>
      <c r="W29" s="80"/>
      <c r="X29" s="80"/>
      <c r="Y29" s="80">
        <f>SUM(Y10:Y27)</f>
        <v>52585.75</v>
      </c>
      <c r="Z29" s="80"/>
      <c r="AA29" s="80"/>
      <c r="AB29" s="80">
        <f>SUM(AB10:AB27)+AB28</f>
        <v>331809.66000000003</v>
      </c>
      <c r="AC29" s="80"/>
      <c r="AD29" s="80"/>
      <c r="AE29" s="80">
        <f>SUM(AE10:AE27)+AE28</f>
        <v>211879.67</v>
      </c>
      <c r="AF29" s="80"/>
      <c r="AG29" s="80"/>
      <c r="AH29" s="81">
        <f>SUM(AH10:AH27)</f>
        <v>104631.47</v>
      </c>
      <c r="AI29" s="80"/>
      <c r="AJ29" s="80"/>
      <c r="AK29" s="80">
        <f>SUM(AK10:AK27)+AK28</f>
        <v>394585.97</v>
      </c>
      <c r="AL29" s="80"/>
      <c r="AM29" s="80"/>
      <c r="AN29" s="80">
        <f>SUM(AN10:AN27)</f>
        <v>95517.93</v>
      </c>
    </row>
    <row r="30" spans="1:4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x14ac:dyDescent="0.25">
      <c r="A31" s="3"/>
      <c r="B31" s="3"/>
      <c r="C31" s="3"/>
      <c r="D31" s="3"/>
      <c r="E31" s="3"/>
      <c r="F31" s="18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25">
      <c r="A33" s="3"/>
      <c r="B33" s="137" t="s">
        <v>99</v>
      </c>
      <c r="C33" s="137"/>
      <c r="D33" s="137"/>
      <c r="E33" s="137"/>
      <c r="F33" s="137"/>
      <c r="G33" s="137" t="s">
        <v>100</v>
      </c>
      <c r="H33" s="183"/>
      <c r="I33" s="183"/>
      <c r="J33" s="183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</row>
    <row r="34" spans="1:40" x14ac:dyDescent="0.25">
      <c r="A34" s="3"/>
      <c r="B34" s="137"/>
      <c r="C34" s="3"/>
      <c r="D34" s="3"/>
      <c r="E34" s="3"/>
      <c r="F34" s="13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6" spans="1:40" ht="15.75" x14ac:dyDescent="0.25">
      <c r="B36" s="108"/>
      <c r="E36" s="108"/>
      <c r="AM36" s="108" t="s">
        <v>101</v>
      </c>
    </row>
  </sheetData>
  <mergeCells count="55">
    <mergeCell ref="B2:I2"/>
    <mergeCell ref="B3:I3"/>
    <mergeCell ref="B4:I4"/>
    <mergeCell ref="A6:A8"/>
    <mergeCell ref="B6:B8"/>
    <mergeCell ref="C6:C8"/>
    <mergeCell ref="D6:F6"/>
    <mergeCell ref="G6:I6"/>
    <mergeCell ref="AC6:AE6"/>
    <mergeCell ref="AF6:AH6"/>
    <mergeCell ref="AI6:AK6"/>
    <mergeCell ref="AL6:AN6"/>
    <mergeCell ref="D7:D8"/>
    <mergeCell ref="E7:E8"/>
    <mergeCell ref="F7:F8"/>
    <mergeCell ref="G7:G8"/>
    <mergeCell ref="H7:H8"/>
    <mergeCell ref="I7:I8"/>
    <mergeCell ref="K6:M6"/>
    <mergeCell ref="N6:P6"/>
    <mergeCell ref="Q6:S6"/>
    <mergeCell ref="T6:V6"/>
    <mergeCell ref="W6:Y6"/>
    <mergeCell ref="Z6:AB6"/>
    <mergeCell ref="V7:V8"/>
    <mergeCell ref="K7:K8"/>
    <mergeCell ref="L7:L8"/>
    <mergeCell ref="M7:M8"/>
    <mergeCell ref="N7:N8"/>
    <mergeCell ref="O7:O8"/>
    <mergeCell ref="P7:P8"/>
    <mergeCell ref="AM7:AM8"/>
    <mergeCell ref="AN7:AN8"/>
    <mergeCell ref="AC7:AC8"/>
    <mergeCell ref="AD7:AD8"/>
    <mergeCell ref="AE7:AE8"/>
    <mergeCell ref="AF7:AF8"/>
    <mergeCell ref="AG7:AG8"/>
    <mergeCell ref="AH7:AH8"/>
    <mergeCell ref="J7:J8"/>
    <mergeCell ref="AI7:AI8"/>
    <mergeCell ref="AJ7:AJ8"/>
    <mergeCell ref="AK7:AK8"/>
    <mergeCell ref="AL7:AL8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7"/>
  <sheetViews>
    <sheetView tabSelected="1" topLeftCell="AK5" zoomScale="55" zoomScaleNormal="55" workbookViewId="0">
      <selection activeCell="BG6" sqref="BG6:BI29"/>
    </sheetView>
  </sheetViews>
  <sheetFormatPr defaultRowHeight="15" x14ac:dyDescent="0.25"/>
  <cols>
    <col min="1" max="1" width="3.140625" customWidth="1"/>
    <col min="2" max="2" width="27.28515625" customWidth="1"/>
    <col min="6" max="6" width="12.5703125" customWidth="1"/>
  </cols>
  <sheetData>
    <row r="1" spans="1:67" ht="20.25" x14ac:dyDescent="0.3">
      <c r="B1" s="2"/>
      <c r="C1" s="160" t="s">
        <v>86</v>
      </c>
      <c r="D1" s="161"/>
    </row>
    <row r="2" spans="1:67" ht="15.75" x14ac:dyDescent="0.25">
      <c r="B2" s="313" t="s">
        <v>102</v>
      </c>
      <c r="C2" s="313"/>
      <c r="D2" s="313"/>
      <c r="E2" s="313"/>
      <c r="F2" s="313"/>
      <c r="G2" s="313"/>
      <c r="H2" s="313"/>
      <c r="I2" s="313"/>
      <c r="J2" s="313"/>
    </row>
    <row r="3" spans="1:67" ht="15.75" x14ac:dyDescent="0.25">
      <c r="B3" s="314"/>
      <c r="C3" s="314"/>
      <c r="D3" s="314"/>
      <c r="E3" s="314"/>
      <c r="F3" s="314"/>
      <c r="G3" s="314"/>
      <c r="H3" s="314"/>
      <c r="I3" s="314"/>
      <c r="J3" s="314"/>
    </row>
    <row r="4" spans="1:67" ht="15.75" x14ac:dyDescent="0.25">
      <c r="B4" s="313" t="s">
        <v>2</v>
      </c>
      <c r="C4" s="313"/>
      <c r="D4" s="313"/>
      <c r="E4" s="313"/>
      <c r="F4" s="313"/>
      <c r="G4" s="313"/>
      <c r="H4" s="313"/>
      <c r="I4" s="313"/>
      <c r="J4" s="313"/>
    </row>
    <row r="5" spans="1:67" ht="15.75" thickBot="1" x14ac:dyDescent="0.3"/>
    <row r="6" spans="1:67" ht="15.75" thickBot="1" x14ac:dyDescent="0.3">
      <c r="A6" s="345" t="s">
        <v>3</v>
      </c>
      <c r="B6" s="348" t="s">
        <v>4</v>
      </c>
      <c r="C6" s="351" t="s">
        <v>5</v>
      </c>
      <c r="D6" s="354" t="s">
        <v>6</v>
      </c>
      <c r="E6" s="355"/>
      <c r="F6" s="356"/>
      <c r="G6" s="354" t="s">
        <v>7</v>
      </c>
      <c r="H6" s="355"/>
      <c r="I6" s="355"/>
      <c r="J6" s="184"/>
      <c r="K6" s="365" t="s">
        <v>103</v>
      </c>
      <c r="L6" s="366"/>
      <c r="M6" s="367"/>
      <c r="N6" s="365" t="s">
        <v>104</v>
      </c>
      <c r="O6" s="366"/>
      <c r="P6" s="367"/>
      <c r="Q6" s="365" t="s">
        <v>105</v>
      </c>
      <c r="R6" s="366"/>
      <c r="S6" s="367"/>
      <c r="T6" s="365" t="s">
        <v>106</v>
      </c>
      <c r="U6" s="366"/>
      <c r="V6" s="367"/>
      <c r="W6" s="365" t="s">
        <v>107</v>
      </c>
      <c r="X6" s="366"/>
      <c r="Y6" s="367"/>
      <c r="Z6" s="365" t="s">
        <v>108</v>
      </c>
      <c r="AA6" s="366"/>
      <c r="AB6" s="367"/>
      <c r="AC6" s="365" t="s">
        <v>109</v>
      </c>
      <c r="AD6" s="366"/>
      <c r="AE6" s="367"/>
      <c r="AF6" s="360" t="s">
        <v>110</v>
      </c>
      <c r="AG6" s="361"/>
      <c r="AH6" s="361"/>
      <c r="AI6" s="360" t="s">
        <v>111</v>
      </c>
      <c r="AJ6" s="361"/>
      <c r="AK6" s="362"/>
      <c r="AL6" s="361" t="s">
        <v>112</v>
      </c>
      <c r="AM6" s="361"/>
      <c r="AN6" s="361"/>
      <c r="AO6" s="360" t="s">
        <v>113</v>
      </c>
      <c r="AP6" s="361"/>
      <c r="AQ6" s="362"/>
      <c r="AR6" s="361" t="s">
        <v>114</v>
      </c>
      <c r="AS6" s="361"/>
      <c r="AT6" s="361"/>
      <c r="AU6" s="360" t="s">
        <v>115</v>
      </c>
      <c r="AV6" s="361"/>
      <c r="AW6" s="362"/>
      <c r="AX6" s="360" t="s">
        <v>116</v>
      </c>
      <c r="AY6" s="361"/>
      <c r="AZ6" s="362"/>
      <c r="BA6" s="361" t="s">
        <v>117</v>
      </c>
      <c r="BB6" s="361"/>
      <c r="BC6" s="361"/>
      <c r="BD6" s="360" t="s">
        <v>118</v>
      </c>
      <c r="BE6" s="361"/>
      <c r="BF6" s="362"/>
      <c r="BG6" s="360" t="s">
        <v>119</v>
      </c>
      <c r="BH6" s="361"/>
      <c r="BI6" s="362"/>
      <c r="BJ6" s="360" t="s">
        <v>120</v>
      </c>
      <c r="BK6" s="361"/>
      <c r="BL6" s="362"/>
      <c r="BM6" s="360" t="s">
        <v>121</v>
      </c>
      <c r="BN6" s="361"/>
      <c r="BO6" s="362"/>
    </row>
    <row r="7" spans="1:67" x14ac:dyDescent="0.25">
      <c r="A7" s="346"/>
      <c r="B7" s="349"/>
      <c r="C7" s="368"/>
      <c r="D7" s="321" t="s">
        <v>14</v>
      </c>
      <c r="E7" s="290" t="s">
        <v>98</v>
      </c>
      <c r="F7" s="363" t="s">
        <v>50</v>
      </c>
      <c r="G7" s="321" t="s">
        <v>16</v>
      </c>
      <c r="H7" s="290" t="s">
        <v>17</v>
      </c>
      <c r="I7" s="293" t="s">
        <v>124</v>
      </c>
      <c r="J7" s="358" t="s">
        <v>18</v>
      </c>
      <c r="K7" s="328" t="s">
        <v>14</v>
      </c>
      <c r="L7" s="329" t="s">
        <v>17</v>
      </c>
      <c r="M7" s="330" t="s">
        <v>20</v>
      </c>
      <c r="N7" s="328" t="s">
        <v>14</v>
      </c>
      <c r="O7" s="329" t="s">
        <v>17</v>
      </c>
      <c r="P7" s="330" t="s">
        <v>20</v>
      </c>
      <c r="Q7" s="328" t="s">
        <v>14</v>
      </c>
      <c r="R7" s="329" t="s">
        <v>17</v>
      </c>
      <c r="S7" s="330" t="s">
        <v>20</v>
      </c>
      <c r="T7" s="328" t="s">
        <v>14</v>
      </c>
      <c r="U7" s="329" t="s">
        <v>17</v>
      </c>
      <c r="V7" s="330" t="s">
        <v>20</v>
      </c>
      <c r="W7" s="328" t="s">
        <v>14</v>
      </c>
      <c r="X7" s="329" t="s">
        <v>17</v>
      </c>
      <c r="Y7" s="330" t="s">
        <v>20</v>
      </c>
      <c r="Z7" s="328" t="s">
        <v>14</v>
      </c>
      <c r="AA7" s="329" t="s">
        <v>17</v>
      </c>
      <c r="AB7" s="330" t="s">
        <v>20</v>
      </c>
      <c r="AC7" s="321" t="s">
        <v>14</v>
      </c>
      <c r="AD7" s="290" t="s">
        <v>17</v>
      </c>
      <c r="AE7" s="326" t="s">
        <v>20</v>
      </c>
      <c r="AF7" s="332" t="s">
        <v>14</v>
      </c>
      <c r="AG7" s="291" t="s">
        <v>17</v>
      </c>
      <c r="AH7" s="334" t="s">
        <v>20</v>
      </c>
      <c r="AI7" s="322" t="s">
        <v>14</v>
      </c>
      <c r="AJ7" s="291" t="s">
        <v>17</v>
      </c>
      <c r="AK7" s="357" t="s">
        <v>20</v>
      </c>
      <c r="AL7" s="332" t="s">
        <v>14</v>
      </c>
      <c r="AM7" s="291" t="s">
        <v>17</v>
      </c>
      <c r="AN7" s="334" t="s">
        <v>20</v>
      </c>
      <c r="AO7" s="322" t="s">
        <v>14</v>
      </c>
      <c r="AP7" s="291" t="s">
        <v>17</v>
      </c>
      <c r="AQ7" s="357" t="s">
        <v>20</v>
      </c>
      <c r="AR7" s="332" t="s">
        <v>14</v>
      </c>
      <c r="AS7" s="291" t="s">
        <v>17</v>
      </c>
      <c r="AT7" s="334" t="s">
        <v>20</v>
      </c>
      <c r="AU7" s="322" t="s">
        <v>14</v>
      </c>
      <c r="AV7" s="291" t="s">
        <v>17</v>
      </c>
      <c r="AW7" s="357" t="s">
        <v>20</v>
      </c>
      <c r="AX7" s="322" t="s">
        <v>14</v>
      </c>
      <c r="AY7" s="291" t="s">
        <v>17</v>
      </c>
      <c r="AZ7" s="357" t="s">
        <v>20</v>
      </c>
      <c r="BA7" s="332" t="s">
        <v>14</v>
      </c>
      <c r="BB7" s="291" t="s">
        <v>17</v>
      </c>
      <c r="BC7" s="334" t="s">
        <v>20</v>
      </c>
      <c r="BD7" s="322" t="s">
        <v>14</v>
      </c>
      <c r="BE7" s="291" t="s">
        <v>17</v>
      </c>
      <c r="BF7" s="357" t="s">
        <v>20</v>
      </c>
      <c r="BG7" s="322" t="s">
        <v>14</v>
      </c>
      <c r="BH7" s="291" t="s">
        <v>17</v>
      </c>
      <c r="BI7" s="357" t="s">
        <v>20</v>
      </c>
      <c r="BJ7" s="332" t="s">
        <v>14</v>
      </c>
      <c r="BK7" s="291" t="s">
        <v>17</v>
      </c>
      <c r="BL7" s="334" t="s">
        <v>20</v>
      </c>
      <c r="BM7" s="322" t="s">
        <v>14</v>
      </c>
      <c r="BN7" s="291" t="s">
        <v>17</v>
      </c>
      <c r="BO7" s="357" t="s">
        <v>20</v>
      </c>
    </row>
    <row r="8" spans="1:67" ht="15.75" thickBot="1" x14ac:dyDescent="0.3">
      <c r="A8" s="347"/>
      <c r="B8" s="350"/>
      <c r="C8" s="369"/>
      <c r="D8" s="323"/>
      <c r="E8" s="292"/>
      <c r="F8" s="364"/>
      <c r="G8" s="323"/>
      <c r="H8" s="292"/>
      <c r="I8" s="295"/>
      <c r="J8" s="359"/>
      <c r="K8" s="323"/>
      <c r="L8" s="292"/>
      <c r="M8" s="327"/>
      <c r="N8" s="323"/>
      <c r="O8" s="292"/>
      <c r="P8" s="327"/>
      <c r="Q8" s="323"/>
      <c r="R8" s="292"/>
      <c r="S8" s="327"/>
      <c r="T8" s="323"/>
      <c r="U8" s="292"/>
      <c r="V8" s="327"/>
      <c r="W8" s="323"/>
      <c r="X8" s="292"/>
      <c r="Y8" s="327"/>
      <c r="Z8" s="323"/>
      <c r="AA8" s="292"/>
      <c r="AB8" s="327"/>
      <c r="AC8" s="323"/>
      <c r="AD8" s="292"/>
      <c r="AE8" s="327"/>
      <c r="AF8" s="332"/>
      <c r="AG8" s="291"/>
      <c r="AH8" s="334"/>
      <c r="AI8" s="322"/>
      <c r="AJ8" s="291"/>
      <c r="AK8" s="357"/>
      <c r="AL8" s="332"/>
      <c r="AM8" s="291"/>
      <c r="AN8" s="334"/>
      <c r="AO8" s="322"/>
      <c r="AP8" s="291"/>
      <c r="AQ8" s="357"/>
      <c r="AR8" s="332"/>
      <c r="AS8" s="291"/>
      <c r="AT8" s="334"/>
      <c r="AU8" s="322"/>
      <c r="AV8" s="291"/>
      <c r="AW8" s="357"/>
      <c r="AX8" s="322"/>
      <c r="AY8" s="291"/>
      <c r="AZ8" s="357"/>
      <c r="BA8" s="332"/>
      <c r="BB8" s="291"/>
      <c r="BC8" s="334"/>
      <c r="BD8" s="322"/>
      <c r="BE8" s="291"/>
      <c r="BF8" s="357"/>
      <c r="BG8" s="322"/>
      <c r="BH8" s="291"/>
      <c r="BI8" s="357"/>
      <c r="BJ8" s="332"/>
      <c r="BK8" s="291"/>
      <c r="BL8" s="334"/>
      <c r="BM8" s="322"/>
      <c r="BN8" s="291"/>
      <c r="BO8" s="357"/>
    </row>
    <row r="9" spans="1:67" ht="15.75" thickBot="1" x14ac:dyDescent="0.3">
      <c r="A9" s="158">
        <v>1</v>
      </c>
      <c r="B9" s="27">
        <v>2</v>
      </c>
      <c r="C9" s="130">
        <v>3</v>
      </c>
      <c r="D9" s="79">
        <v>4</v>
      </c>
      <c r="E9" s="80">
        <v>5</v>
      </c>
      <c r="F9" s="81">
        <v>6</v>
      </c>
      <c r="G9" s="79">
        <v>7</v>
      </c>
      <c r="H9" s="80">
        <v>8</v>
      </c>
      <c r="I9" s="81">
        <v>9</v>
      </c>
      <c r="J9" s="89">
        <v>10</v>
      </c>
      <c r="K9" s="88"/>
      <c r="L9" s="83"/>
      <c r="M9" s="84"/>
      <c r="N9" s="88"/>
      <c r="O9" s="83"/>
      <c r="P9" s="84"/>
      <c r="Q9" s="88"/>
      <c r="R9" s="83"/>
      <c r="S9" s="84"/>
      <c r="T9" s="88"/>
      <c r="U9" s="83"/>
      <c r="V9" s="84"/>
      <c r="W9" s="88"/>
      <c r="X9" s="83"/>
      <c r="Y9" s="84"/>
      <c r="Z9" s="88"/>
      <c r="AA9" s="83"/>
      <c r="AB9" s="84"/>
      <c r="AC9" s="185"/>
      <c r="AD9" s="83"/>
      <c r="AE9" s="84"/>
      <c r="AF9" s="88"/>
      <c r="AG9" s="83"/>
      <c r="AH9" s="156"/>
      <c r="AI9" s="88"/>
      <c r="AJ9" s="83"/>
      <c r="AK9" s="84"/>
      <c r="AL9" s="82"/>
      <c r="AM9" s="83"/>
      <c r="AN9" s="156"/>
      <c r="AO9" s="88"/>
      <c r="AP9" s="83"/>
      <c r="AQ9" s="84"/>
      <c r="AR9" s="82"/>
      <c r="AS9" s="83"/>
      <c r="AT9" s="156"/>
      <c r="AU9" s="88"/>
      <c r="AV9" s="83"/>
      <c r="AW9" s="84"/>
      <c r="AX9" s="88"/>
      <c r="AY9" s="83"/>
      <c r="AZ9" s="84"/>
      <c r="BA9" s="82"/>
      <c r="BB9" s="83"/>
      <c r="BC9" s="156"/>
      <c r="BD9" s="90"/>
      <c r="BE9" s="86"/>
      <c r="BF9" s="157"/>
      <c r="BG9" s="90"/>
      <c r="BH9" s="86"/>
      <c r="BI9" s="157"/>
      <c r="BJ9" s="85"/>
      <c r="BK9" s="86"/>
      <c r="BL9" s="87"/>
      <c r="BM9" s="90"/>
      <c r="BN9" s="86"/>
      <c r="BO9" s="157"/>
    </row>
    <row r="10" spans="1:67" x14ac:dyDescent="0.25">
      <c r="A10" s="162">
        <v>1</v>
      </c>
      <c r="B10" s="163" t="s">
        <v>24</v>
      </c>
      <c r="C10" s="42"/>
      <c r="D10" s="39"/>
      <c r="E10" s="41"/>
      <c r="F10" s="42"/>
      <c r="G10" s="39"/>
      <c r="H10" s="41"/>
      <c r="I10" s="143"/>
      <c r="J10" s="162"/>
      <c r="K10" s="39"/>
      <c r="L10" s="41"/>
      <c r="M10" s="42"/>
      <c r="N10" s="65"/>
      <c r="O10" s="45"/>
      <c r="P10" s="125"/>
      <c r="Q10" s="39"/>
      <c r="R10" s="41"/>
      <c r="S10" s="42"/>
      <c r="T10" s="39"/>
      <c r="U10" s="41"/>
      <c r="V10" s="42"/>
      <c r="W10" s="39"/>
      <c r="X10" s="41"/>
      <c r="Y10" s="42"/>
      <c r="Z10" s="39"/>
      <c r="AA10" s="41"/>
      <c r="AB10" s="42"/>
      <c r="AC10" s="65"/>
      <c r="AD10" s="45"/>
      <c r="AE10" s="125"/>
      <c r="AF10" s="62"/>
      <c r="AG10" s="45"/>
      <c r="AH10" s="66"/>
      <c r="AI10" s="39"/>
      <c r="AJ10" s="41"/>
      <c r="AK10" s="42"/>
      <c r="AL10" s="39"/>
      <c r="AM10" s="41"/>
      <c r="AN10" s="42"/>
      <c r="AO10" s="43"/>
      <c r="AP10" s="41"/>
      <c r="AQ10" s="42"/>
      <c r="AR10" s="39"/>
      <c r="AS10" s="41"/>
      <c r="AT10" s="42"/>
      <c r="AU10" s="39"/>
      <c r="AV10" s="41"/>
      <c r="AW10" s="42"/>
      <c r="AX10" s="39"/>
      <c r="AY10" s="41"/>
      <c r="AZ10" s="42"/>
      <c r="BA10" s="39"/>
      <c r="BB10" s="41"/>
      <c r="BC10" s="143"/>
      <c r="BD10" s="39"/>
      <c r="BE10" s="41"/>
      <c r="BF10" s="143"/>
      <c r="BG10" s="39"/>
      <c r="BH10" s="41"/>
      <c r="BI10" s="143"/>
      <c r="BJ10" s="39"/>
      <c r="BK10" s="41"/>
      <c r="BL10" s="42"/>
      <c r="BM10" s="43"/>
      <c r="BN10" s="41"/>
      <c r="BO10" s="42"/>
    </row>
    <row r="11" spans="1:67" x14ac:dyDescent="0.25">
      <c r="A11" s="127">
        <v>2</v>
      </c>
      <c r="B11" s="164" t="s">
        <v>25</v>
      </c>
      <c r="C11" s="52" t="s">
        <v>26</v>
      </c>
      <c r="D11" s="46">
        <v>200</v>
      </c>
      <c r="E11" s="50">
        <v>2</v>
      </c>
      <c r="F11" s="51">
        <v>84478.397789184688</v>
      </c>
      <c r="G11" s="46"/>
      <c r="H11" s="50"/>
      <c r="I11" s="126"/>
      <c r="J11" s="127"/>
      <c r="K11" s="46"/>
      <c r="L11" s="50"/>
      <c r="M11" s="52"/>
      <c r="N11" s="49"/>
      <c r="O11" s="50"/>
      <c r="P11" s="126"/>
      <c r="Q11" s="46"/>
      <c r="R11" s="50"/>
      <c r="S11" s="52"/>
      <c r="T11" s="46"/>
      <c r="U11" s="50"/>
      <c r="V11" s="52"/>
      <c r="W11" s="46"/>
      <c r="X11" s="50"/>
      <c r="Y11" s="52"/>
      <c r="Z11" s="46"/>
      <c r="AA11" s="50"/>
      <c r="AB11" s="52"/>
      <c r="AC11" s="49"/>
      <c r="AD11" s="50"/>
      <c r="AE11" s="126"/>
      <c r="AF11" s="46"/>
      <c r="AG11" s="50"/>
      <c r="AH11" s="52"/>
      <c r="AI11" s="46"/>
      <c r="AJ11" s="50"/>
      <c r="AK11" s="52"/>
      <c r="AL11" s="46"/>
      <c r="AM11" s="50"/>
      <c r="AN11" s="52"/>
      <c r="AO11" s="49"/>
      <c r="AP11" s="50"/>
      <c r="AQ11" s="52"/>
      <c r="AR11" s="46"/>
      <c r="AS11" s="50"/>
      <c r="AT11" s="52"/>
      <c r="AU11" s="46"/>
      <c r="AV11" s="50"/>
      <c r="AW11" s="52"/>
      <c r="AX11" s="46"/>
      <c r="AY11" s="50"/>
      <c r="AZ11" s="52"/>
      <c r="BA11" s="46"/>
      <c r="BB11" s="50"/>
      <c r="BC11" s="126"/>
      <c r="BD11" s="46"/>
      <c r="BE11" s="50"/>
      <c r="BF11" s="126"/>
      <c r="BG11" s="46"/>
      <c r="BH11" s="50"/>
      <c r="BI11" s="126"/>
      <c r="BJ11" s="46"/>
      <c r="BK11" s="50"/>
      <c r="BL11" s="52"/>
      <c r="BM11" s="49"/>
      <c r="BN11" s="50"/>
      <c r="BO11" s="52"/>
    </row>
    <row r="12" spans="1:67" x14ac:dyDescent="0.25">
      <c r="A12" s="127">
        <v>3</v>
      </c>
      <c r="B12" s="164" t="s">
        <v>27</v>
      </c>
      <c r="C12" s="52" t="s">
        <v>26</v>
      </c>
      <c r="D12" s="46"/>
      <c r="E12" s="50">
        <v>19</v>
      </c>
      <c r="F12" s="51">
        <v>19779.296867372141</v>
      </c>
      <c r="G12" s="46">
        <v>14</v>
      </c>
      <c r="H12" s="50">
        <v>3</v>
      </c>
      <c r="I12" s="126">
        <v>5346.19</v>
      </c>
      <c r="J12" s="127"/>
      <c r="K12" s="46">
        <v>5</v>
      </c>
      <c r="L12" s="50">
        <v>1</v>
      </c>
      <c r="M12" s="52">
        <f>1886.89</f>
        <v>1886.89</v>
      </c>
      <c r="N12" s="49"/>
      <c r="O12" s="50"/>
      <c r="P12" s="126"/>
      <c r="Q12" s="46">
        <v>1</v>
      </c>
      <c r="R12" s="50">
        <v>1</v>
      </c>
      <c r="S12" s="52">
        <f>1437.63</f>
        <v>1437.63</v>
      </c>
      <c r="T12" s="46"/>
      <c r="U12" s="50"/>
      <c r="V12" s="52"/>
      <c r="W12" s="46"/>
      <c r="X12" s="50"/>
      <c r="Y12" s="52"/>
      <c r="Z12" s="46"/>
      <c r="AA12" s="50"/>
      <c r="AB12" s="52"/>
      <c r="AC12" s="49"/>
      <c r="AD12" s="50"/>
      <c r="AE12" s="126"/>
      <c r="AF12" s="46"/>
      <c r="AG12" s="50"/>
      <c r="AH12" s="52"/>
      <c r="AI12" s="46"/>
      <c r="AJ12" s="50"/>
      <c r="AK12" s="52"/>
      <c r="AL12" s="46"/>
      <c r="AM12" s="50"/>
      <c r="AN12" s="52"/>
      <c r="AO12" s="49"/>
      <c r="AP12" s="50"/>
      <c r="AQ12" s="52"/>
      <c r="AR12" s="46"/>
      <c r="AS12" s="50"/>
      <c r="AT12" s="52"/>
      <c r="AU12" s="46">
        <v>8</v>
      </c>
      <c r="AV12" s="50">
        <v>1</v>
      </c>
      <c r="AW12" s="52">
        <f>2021.67</f>
        <v>2021.67</v>
      </c>
      <c r="AX12" s="46"/>
      <c r="AY12" s="50"/>
      <c r="AZ12" s="52"/>
      <c r="BA12" s="46"/>
      <c r="BB12" s="50"/>
      <c r="BC12" s="126"/>
      <c r="BD12" s="46"/>
      <c r="BE12" s="50"/>
      <c r="BF12" s="126"/>
      <c r="BG12" s="46"/>
      <c r="BH12" s="50"/>
      <c r="BI12" s="126"/>
      <c r="BJ12" s="46"/>
      <c r="BK12" s="50"/>
      <c r="BL12" s="52"/>
      <c r="BM12" s="49"/>
      <c r="BN12" s="50"/>
      <c r="BO12" s="52"/>
    </row>
    <row r="13" spans="1:67" x14ac:dyDescent="0.25">
      <c r="A13" s="127">
        <v>4</v>
      </c>
      <c r="B13" s="164" t="s">
        <v>28</v>
      </c>
      <c r="C13" s="52" t="s">
        <v>29</v>
      </c>
      <c r="D13" s="46"/>
      <c r="E13" s="50"/>
      <c r="F13" s="51">
        <v>0</v>
      </c>
      <c r="G13" s="46">
        <v>1036</v>
      </c>
      <c r="H13" s="50">
        <v>8</v>
      </c>
      <c r="I13" s="126">
        <v>194424.86</v>
      </c>
      <c r="J13" s="127"/>
      <c r="K13" s="46"/>
      <c r="L13" s="50"/>
      <c r="M13" s="52"/>
      <c r="N13" s="49"/>
      <c r="O13" s="50"/>
      <c r="P13" s="126"/>
      <c r="Q13" s="46"/>
      <c r="R13" s="50"/>
      <c r="S13" s="52"/>
      <c r="T13" s="46"/>
      <c r="U13" s="50"/>
      <c r="V13" s="52"/>
      <c r="W13" s="46"/>
      <c r="X13" s="50"/>
      <c r="Y13" s="52"/>
      <c r="Z13" s="46"/>
      <c r="AA13" s="50"/>
      <c r="AB13" s="52"/>
      <c r="AC13" s="49">
        <v>141</v>
      </c>
      <c r="AD13" s="50">
        <v>1</v>
      </c>
      <c r="AE13" s="126">
        <f>14382</f>
        <v>14382</v>
      </c>
      <c r="AF13" s="46">
        <v>208</v>
      </c>
      <c r="AG13" s="50">
        <v>1</v>
      </c>
      <c r="AH13" s="52">
        <f>21216</f>
        <v>21216</v>
      </c>
      <c r="AI13" s="46">
        <v>301</v>
      </c>
      <c r="AJ13" s="50">
        <v>1</v>
      </c>
      <c r="AK13" s="52">
        <f>68965.9</f>
        <v>68965.899999999994</v>
      </c>
      <c r="AL13" s="46"/>
      <c r="AM13" s="50"/>
      <c r="AN13" s="52"/>
      <c r="AO13" s="49"/>
      <c r="AP13" s="50">
        <v>1</v>
      </c>
      <c r="AQ13" s="52">
        <f>1415.16</f>
        <v>1415.16</v>
      </c>
      <c r="AR13" s="46"/>
      <c r="AS13" s="50"/>
      <c r="AT13" s="52"/>
      <c r="AU13" s="46">
        <f>31+62</f>
        <v>93</v>
      </c>
      <c r="AV13" s="50">
        <v>1</v>
      </c>
      <c r="AW13" s="52">
        <f>7102.8+14205.6</f>
        <v>21308.400000000001</v>
      </c>
      <c r="AX13" s="46">
        <v>8</v>
      </c>
      <c r="AY13" s="50">
        <v>1</v>
      </c>
      <c r="AZ13" s="52">
        <f>1837.47</f>
        <v>1837.47</v>
      </c>
      <c r="BA13" s="46"/>
      <c r="BB13" s="50"/>
      <c r="BC13" s="126"/>
      <c r="BD13" s="46">
        <f>116+144</f>
        <v>260</v>
      </c>
      <c r="BE13" s="50">
        <v>1</v>
      </c>
      <c r="BF13" s="126">
        <f>26578.22+32993.65</f>
        <v>59571.87</v>
      </c>
      <c r="BG13" s="46"/>
      <c r="BH13" s="50"/>
      <c r="BI13" s="126"/>
      <c r="BJ13" s="46"/>
      <c r="BK13" s="50"/>
      <c r="BL13" s="52"/>
      <c r="BM13" s="49">
        <v>25</v>
      </c>
      <c r="BN13" s="50">
        <v>1</v>
      </c>
      <c r="BO13" s="52">
        <f>5728.06</f>
        <v>5728.06</v>
      </c>
    </row>
    <row r="14" spans="1:67" x14ac:dyDescent="0.25">
      <c r="A14" s="127">
        <v>5</v>
      </c>
      <c r="B14" s="164" t="s">
        <v>30</v>
      </c>
      <c r="C14" s="52"/>
      <c r="D14" s="46"/>
      <c r="E14" s="50"/>
      <c r="F14" s="51">
        <v>0</v>
      </c>
      <c r="G14" s="46"/>
      <c r="H14" s="50"/>
      <c r="I14" s="126"/>
      <c r="J14" s="127"/>
      <c r="K14" s="46"/>
      <c r="L14" s="50"/>
      <c r="M14" s="52"/>
      <c r="N14" s="49"/>
      <c r="O14" s="50"/>
      <c r="P14" s="126"/>
      <c r="Q14" s="46"/>
      <c r="R14" s="50"/>
      <c r="S14" s="52"/>
      <c r="T14" s="46"/>
      <c r="U14" s="50"/>
      <c r="V14" s="52"/>
      <c r="W14" s="46"/>
      <c r="X14" s="50"/>
      <c r="Y14" s="52"/>
      <c r="Z14" s="46"/>
      <c r="AA14" s="50"/>
      <c r="AB14" s="52"/>
      <c r="AC14" s="49"/>
      <c r="AD14" s="50"/>
      <c r="AE14" s="126"/>
      <c r="AF14" s="46"/>
      <c r="AG14" s="50"/>
      <c r="AH14" s="52"/>
      <c r="AI14" s="46"/>
      <c r="AJ14" s="50"/>
      <c r="AK14" s="52"/>
      <c r="AL14" s="46"/>
      <c r="AM14" s="50"/>
      <c r="AN14" s="52"/>
      <c r="AO14" s="49"/>
      <c r="AP14" s="50"/>
      <c r="AQ14" s="52"/>
      <c r="AR14" s="46"/>
      <c r="AS14" s="50"/>
      <c r="AT14" s="52"/>
      <c r="AU14" s="46"/>
      <c r="AV14" s="50"/>
      <c r="AW14" s="52"/>
      <c r="AX14" s="46"/>
      <c r="AY14" s="50"/>
      <c r="AZ14" s="52"/>
      <c r="BA14" s="46"/>
      <c r="BB14" s="50"/>
      <c r="BC14" s="126"/>
      <c r="BD14" s="46"/>
      <c r="BE14" s="50"/>
      <c r="BF14" s="126"/>
      <c r="BG14" s="46"/>
      <c r="BH14" s="50"/>
      <c r="BI14" s="126"/>
      <c r="BJ14" s="46"/>
      <c r="BK14" s="50"/>
      <c r="BL14" s="52"/>
      <c r="BM14" s="49"/>
      <c r="BN14" s="50"/>
      <c r="BO14" s="52"/>
    </row>
    <row r="15" spans="1:67" x14ac:dyDescent="0.25">
      <c r="A15" s="127">
        <v>6</v>
      </c>
      <c r="B15" s="164" t="s">
        <v>31</v>
      </c>
      <c r="C15" s="52" t="s">
        <v>26</v>
      </c>
      <c r="D15" s="46">
        <v>500</v>
      </c>
      <c r="E15" s="50">
        <v>4</v>
      </c>
      <c r="F15" s="51">
        <v>470548.47721365915</v>
      </c>
      <c r="G15" s="46">
        <v>656</v>
      </c>
      <c r="H15" s="50">
        <v>7</v>
      </c>
      <c r="I15" s="126">
        <v>319632.71999999997</v>
      </c>
      <c r="J15" s="127"/>
      <c r="K15" s="46">
        <v>4</v>
      </c>
      <c r="L15" s="50">
        <v>1</v>
      </c>
      <c r="M15" s="52">
        <f>2313.68</f>
        <v>2313.6799999999998</v>
      </c>
      <c r="N15" s="49"/>
      <c r="O15" s="50"/>
      <c r="P15" s="126"/>
      <c r="Q15" s="46">
        <f>30</f>
        <v>30</v>
      </c>
      <c r="R15" s="50">
        <v>1</v>
      </c>
      <c r="S15" s="52">
        <f>12181.68</f>
        <v>12181.68</v>
      </c>
      <c r="T15" s="46"/>
      <c r="U15" s="50"/>
      <c r="V15" s="52"/>
      <c r="W15" s="46"/>
      <c r="X15" s="50"/>
      <c r="Y15" s="52"/>
      <c r="Z15" s="46"/>
      <c r="AA15" s="50"/>
      <c r="AB15" s="52"/>
      <c r="AC15" s="49"/>
      <c r="AD15" s="50"/>
      <c r="AE15" s="126"/>
      <c r="AF15" s="46">
        <v>2</v>
      </c>
      <c r="AG15" s="50">
        <v>1</v>
      </c>
      <c r="AH15" s="52">
        <f>855.84</f>
        <v>855.84</v>
      </c>
      <c r="AI15" s="46"/>
      <c r="AJ15" s="50"/>
      <c r="AK15" s="52"/>
      <c r="AL15" s="46"/>
      <c r="AM15" s="50"/>
      <c r="AN15" s="52"/>
      <c r="AO15" s="49">
        <f>10</f>
        <v>10</v>
      </c>
      <c r="AP15" s="50">
        <v>1</v>
      </c>
      <c r="AQ15" s="52">
        <f>2578.75</f>
        <v>2578.75</v>
      </c>
      <c r="AR15" s="46">
        <f>120+130</f>
        <v>250</v>
      </c>
      <c r="AS15" s="50">
        <v>1</v>
      </c>
      <c r="AT15" s="52">
        <f>58394.81+61535.14</f>
        <v>119929.95</v>
      </c>
      <c r="AU15" s="46"/>
      <c r="AV15" s="50"/>
      <c r="AW15" s="52"/>
      <c r="AX15" s="46">
        <v>50</v>
      </c>
      <c r="AY15" s="50">
        <v>1</v>
      </c>
      <c r="AZ15" s="52">
        <f>4944.1+5137.28+23103.19</f>
        <v>33184.57</v>
      </c>
      <c r="BA15" s="46"/>
      <c r="BB15" s="50"/>
      <c r="BC15" s="126"/>
      <c r="BD15" s="46"/>
      <c r="BE15" s="50"/>
      <c r="BF15" s="126"/>
      <c r="BG15" s="46">
        <f>260+50</f>
        <v>310</v>
      </c>
      <c r="BH15" s="50">
        <v>1</v>
      </c>
      <c r="BI15" s="126">
        <f>124013.73+23136.89+1437.63</f>
        <v>148588.25</v>
      </c>
      <c r="BJ15" s="46"/>
      <c r="BK15" s="50"/>
      <c r="BL15" s="52"/>
      <c r="BM15" s="49"/>
      <c r="BN15" s="50"/>
      <c r="BO15" s="52"/>
    </row>
    <row r="16" spans="1:67" x14ac:dyDescent="0.25">
      <c r="A16" s="165">
        <v>7</v>
      </c>
      <c r="B16" s="166" t="s">
        <v>32</v>
      </c>
      <c r="C16" s="73" t="s">
        <v>33</v>
      </c>
      <c r="D16" s="68"/>
      <c r="E16" s="71"/>
      <c r="F16" s="51">
        <v>0</v>
      </c>
      <c r="G16" s="46">
        <v>1</v>
      </c>
      <c r="H16" s="50">
        <v>1</v>
      </c>
      <c r="I16" s="126">
        <v>12491.67</v>
      </c>
      <c r="J16" s="127"/>
      <c r="K16" s="20"/>
      <c r="L16" s="49"/>
      <c r="M16" s="52"/>
      <c r="N16" s="49"/>
      <c r="O16" s="50"/>
      <c r="P16" s="126"/>
      <c r="Q16" s="46">
        <v>1</v>
      </c>
      <c r="R16" s="50">
        <v>1</v>
      </c>
      <c r="S16" s="52">
        <f>12491.67</f>
        <v>12491.67</v>
      </c>
      <c r="T16" s="46"/>
      <c r="U16" s="50"/>
      <c r="V16" s="52"/>
      <c r="W16" s="46"/>
      <c r="X16" s="50"/>
      <c r="Y16" s="52"/>
      <c r="Z16" s="46"/>
      <c r="AA16" s="50"/>
      <c r="AB16" s="52"/>
      <c r="AC16" s="49"/>
      <c r="AD16" s="50"/>
      <c r="AE16" s="126"/>
      <c r="AF16" s="46"/>
      <c r="AG16" s="50"/>
      <c r="AH16" s="52"/>
      <c r="AI16" s="46"/>
      <c r="AJ16" s="50"/>
      <c r="AK16" s="52"/>
      <c r="AL16" s="46"/>
      <c r="AM16" s="50"/>
      <c r="AN16" s="52"/>
      <c r="AO16" s="49"/>
      <c r="AP16" s="50"/>
      <c r="AQ16" s="52"/>
      <c r="AR16" s="46"/>
      <c r="AS16" s="50"/>
      <c r="AT16" s="52"/>
      <c r="AU16" s="46"/>
      <c r="AV16" s="50"/>
      <c r="AW16" s="52"/>
      <c r="AX16" s="46"/>
      <c r="AY16" s="50"/>
      <c r="AZ16" s="52"/>
      <c r="BA16" s="46"/>
      <c r="BB16" s="50"/>
      <c r="BC16" s="126"/>
      <c r="BD16" s="46"/>
      <c r="BE16" s="50"/>
      <c r="BF16" s="126"/>
      <c r="BG16" s="46"/>
      <c r="BH16" s="50"/>
      <c r="BI16" s="126"/>
      <c r="BJ16" s="46"/>
      <c r="BK16" s="50"/>
      <c r="BL16" s="52"/>
      <c r="BM16" s="49"/>
      <c r="BN16" s="50"/>
      <c r="BO16" s="52"/>
    </row>
    <row r="17" spans="1:67" x14ac:dyDescent="0.25">
      <c r="A17" s="127">
        <v>8</v>
      </c>
      <c r="B17" s="164" t="s">
        <v>34</v>
      </c>
      <c r="C17" s="167"/>
      <c r="D17" s="60"/>
      <c r="E17" s="58"/>
      <c r="F17" s="168">
        <v>0</v>
      </c>
      <c r="G17" s="169"/>
      <c r="H17" s="170"/>
      <c r="I17" s="186"/>
      <c r="J17" s="193"/>
      <c r="K17" s="172"/>
      <c r="L17" s="173"/>
      <c r="M17" s="171"/>
      <c r="N17" s="174"/>
      <c r="O17" s="173"/>
      <c r="P17" s="175"/>
      <c r="Q17" s="172"/>
      <c r="R17" s="173"/>
      <c r="S17" s="171"/>
      <c r="T17" s="172"/>
      <c r="U17" s="173"/>
      <c r="V17" s="171"/>
      <c r="W17" s="172"/>
      <c r="X17" s="173"/>
      <c r="Y17" s="171"/>
      <c r="Z17" s="172"/>
      <c r="AA17" s="173"/>
      <c r="AB17" s="171"/>
      <c r="AC17" s="174"/>
      <c r="AD17" s="173"/>
      <c r="AE17" s="175"/>
      <c r="AF17" s="172"/>
      <c r="AG17" s="173"/>
      <c r="AH17" s="171"/>
      <c r="AI17" s="172"/>
      <c r="AJ17" s="173"/>
      <c r="AK17" s="171"/>
      <c r="AL17" s="172"/>
      <c r="AM17" s="173"/>
      <c r="AN17" s="171"/>
      <c r="AO17" s="174"/>
      <c r="AP17" s="173"/>
      <c r="AQ17" s="171"/>
      <c r="AR17" s="172"/>
      <c r="AS17" s="173"/>
      <c r="AT17" s="171"/>
      <c r="AU17" s="60"/>
      <c r="AV17" s="58"/>
      <c r="AW17" s="171"/>
      <c r="AX17" s="60"/>
      <c r="AY17" s="58"/>
      <c r="AZ17" s="171"/>
      <c r="BA17" s="60"/>
      <c r="BB17" s="58"/>
      <c r="BC17" s="175"/>
      <c r="BD17" s="172"/>
      <c r="BE17" s="173"/>
      <c r="BF17" s="175"/>
      <c r="BG17" s="172"/>
      <c r="BH17" s="173"/>
      <c r="BI17" s="175"/>
      <c r="BJ17" s="172"/>
      <c r="BK17" s="173"/>
      <c r="BL17" s="171"/>
      <c r="BM17" s="174"/>
      <c r="BN17" s="173"/>
      <c r="BO17" s="171"/>
    </row>
    <row r="18" spans="1:67" ht="49.5" customHeight="1" x14ac:dyDescent="0.25">
      <c r="A18" s="44">
        <v>9</v>
      </c>
      <c r="B18" s="176" t="s">
        <v>35</v>
      </c>
      <c r="C18" s="66" t="s">
        <v>33</v>
      </c>
      <c r="D18" s="62"/>
      <c r="E18" s="45"/>
      <c r="F18" s="55">
        <v>0</v>
      </c>
      <c r="G18" s="56">
        <v>4</v>
      </c>
      <c r="H18" s="57">
        <v>4</v>
      </c>
      <c r="I18" s="145">
        <v>8416.86</v>
      </c>
      <c r="J18" s="194"/>
      <c r="K18" s="46"/>
      <c r="L18" s="50"/>
      <c r="M18" s="52"/>
      <c r="N18" s="49"/>
      <c r="O18" s="50"/>
      <c r="P18" s="126"/>
      <c r="Q18" s="46"/>
      <c r="R18" s="50"/>
      <c r="S18" s="52"/>
      <c r="T18" s="46"/>
      <c r="U18" s="50"/>
      <c r="V18" s="52"/>
      <c r="W18" s="46"/>
      <c r="X18" s="50"/>
      <c r="Y18" s="52"/>
      <c r="Z18" s="46"/>
      <c r="AA18" s="50"/>
      <c r="AB18" s="52"/>
      <c r="AC18" s="49">
        <v>1</v>
      </c>
      <c r="AD18" s="50">
        <v>1</v>
      </c>
      <c r="AE18" s="126">
        <f>471.72</f>
        <v>471.72</v>
      </c>
      <c r="AF18" s="46"/>
      <c r="AG18" s="50"/>
      <c r="AH18" s="52"/>
      <c r="AI18" s="46"/>
      <c r="AJ18" s="50"/>
      <c r="AK18" s="52"/>
      <c r="AL18" s="46">
        <v>1</v>
      </c>
      <c r="AM18" s="50">
        <v>1</v>
      </c>
      <c r="AN18" s="52">
        <f>876.05</f>
        <v>876.05</v>
      </c>
      <c r="AO18" s="49">
        <v>1</v>
      </c>
      <c r="AP18" s="50">
        <v>1</v>
      </c>
      <c r="AQ18" s="126">
        <f>876.05+4011.89</f>
        <v>4887.9399999999996</v>
      </c>
      <c r="AR18" s="46"/>
      <c r="AS18" s="50"/>
      <c r="AT18" s="52"/>
      <c r="AU18" s="46"/>
      <c r="AV18" s="50"/>
      <c r="AW18" s="52"/>
      <c r="AX18" s="46"/>
      <c r="AY18" s="50"/>
      <c r="AZ18" s="52"/>
      <c r="BA18" s="46"/>
      <c r="BB18" s="50"/>
      <c r="BC18" s="126"/>
      <c r="BD18" s="46">
        <v>1</v>
      </c>
      <c r="BE18" s="50">
        <v>1</v>
      </c>
      <c r="BF18" s="126">
        <f>2181.15</f>
        <v>2181.15</v>
      </c>
      <c r="BG18" s="46"/>
      <c r="BH18" s="50"/>
      <c r="BI18" s="126"/>
      <c r="BJ18" s="46"/>
      <c r="BK18" s="50"/>
      <c r="BL18" s="52"/>
      <c r="BM18" s="49"/>
      <c r="BN18" s="50"/>
      <c r="BO18" s="52"/>
    </row>
    <row r="19" spans="1:67" x14ac:dyDescent="0.25">
      <c r="A19" s="127">
        <v>10</v>
      </c>
      <c r="B19" s="164" t="s">
        <v>36</v>
      </c>
      <c r="C19" s="52"/>
      <c r="D19" s="46"/>
      <c r="E19" s="50"/>
      <c r="F19" s="51">
        <v>0</v>
      </c>
      <c r="G19" s="51"/>
      <c r="H19" s="177"/>
      <c r="I19" s="187"/>
      <c r="J19" s="195"/>
      <c r="K19" s="46"/>
      <c r="L19" s="50"/>
      <c r="M19" s="52"/>
      <c r="N19" s="49"/>
      <c r="O19" s="50"/>
      <c r="P19" s="188"/>
      <c r="Q19" s="46"/>
      <c r="R19" s="50"/>
      <c r="S19" s="52"/>
      <c r="T19" s="46"/>
      <c r="U19" s="50"/>
      <c r="V19" s="52"/>
      <c r="W19" s="46"/>
      <c r="X19" s="50"/>
      <c r="Y19" s="52"/>
      <c r="Z19" s="46"/>
      <c r="AA19" s="50"/>
      <c r="AB19" s="52"/>
      <c r="AC19" s="49"/>
      <c r="AD19" s="50"/>
      <c r="AE19" s="126"/>
      <c r="AF19" s="46"/>
      <c r="AG19" s="50"/>
      <c r="AH19" s="52"/>
      <c r="AI19" s="46"/>
      <c r="AJ19" s="50"/>
      <c r="AK19" s="52"/>
      <c r="AL19" s="46"/>
      <c r="AM19" s="50"/>
      <c r="AN19" s="52"/>
      <c r="AO19" s="49"/>
      <c r="AP19" s="50"/>
      <c r="AQ19" s="52"/>
      <c r="AR19" s="46"/>
      <c r="AS19" s="50"/>
      <c r="AT19" s="52"/>
      <c r="AU19" s="46"/>
      <c r="AV19" s="50"/>
      <c r="AW19" s="52"/>
      <c r="AX19" s="46"/>
      <c r="AY19" s="50"/>
      <c r="AZ19" s="52"/>
      <c r="BA19" s="46"/>
      <c r="BB19" s="50"/>
      <c r="BC19" s="126"/>
      <c r="BD19" s="46"/>
      <c r="BE19" s="50"/>
      <c r="BF19" s="126"/>
      <c r="BG19" s="46"/>
      <c r="BH19" s="50"/>
      <c r="BI19" s="126"/>
      <c r="BJ19" s="46"/>
      <c r="BK19" s="50"/>
      <c r="BL19" s="52"/>
      <c r="BM19" s="49"/>
      <c r="BN19" s="50"/>
      <c r="BO19" s="52"/>
    </row>
    <row r="20" spans="1:67" x14ac:dyDescent="0.25">
      <c r="A20" s="127">
        <v>11</v>
      </c>
      <c r="B20" s="164" t="s">
        <v>37</v>
      </c>
      <c r="C20" s="52" t="s">
        <v>38</v>
      </c>
      <c r="D20" s="46">
        <v>2</v>
      </c>
      <c r="E20" s="50">
        <v>19</v>
      </c>
      <c r="F20" s="51">
        <v>251229.39200261363</v>
      </c>
      <c r="G20" s="46">
        <v>21</v>
      </c>
      <c r="H20" s="50">
        <v>4</v>
      </c>
      <c r="I20" s="126">
        <v>297507.40999999997</v>
      </c>
      <c r="J20" s="127"/>
      <c r="K20" s="46"/>
      <c r="L20" s="50"/>
      <c r="M20" s="52"/>
      <c r="N20" s="49"/>
      <c r="O20" s="50"/>
      <c r="P20" s="126"/>
      <c r="Q20" s="46">
        <f>1+3</f>
        <v>4</v>
      </c>
      <c r="R20" s="50">
        <v>1</v>
      </c>
      <c r="S20" s="52">
        <f>20821.74+60650.1</f>
        <v>81471.839999999997</v>
      </c>
      <c r="T20" s="46">
        <v>4</v>
      </c>
      <c r="U20" s="50">
        <v>1</v>
      </c>
      <c r="V20" s="52">
        <f>5660.61+37019.02</f>
        <v>42679.63</v>
      </c>
      <c r="W20" s="46"/>
      <c r="X20" s="50"/>
      <c r="Y20" s="52"/>
      <c r="Z20" s="46"/>
      <c r="AA20" s="50"/>
      <c r="AB20" s="52"/>
      <c r="AC20" s="49"/>
      <c r="AD20" s="50"/>
      <c r="AE20" s="126"/>
      <c r="AF20" s="46"/>
      <c r="AG20" s="50"/>
      <c r="AH20" s="52"/>
      <c r="AI20" s="46"/>
      <c r="AJ20" s="50"/>
      <c r="AK20" s="52"/>
      <c r="AL20" s="46"/>
      <c r="AM20" s="50"/>
      <c r="AN20" s="52"/>
      <c r="AO20" s="49"/>
      <c r="AP20" s="50"/>
      <c r="AQ20" s="52"/>
      <c r="AR20" s="46"/>
      <c r="AS20" s="50"/>
      <c r="AT20" s="52"/>
      <c r="AU20" s="46"/>
      <c r="AV20" s="50"/>
      <c r="AW20" s="52"/>
      <c r="AX20" s="46"/>
      <c r="AY20" s="50"/>
      <c r="AZ20" s="52"/>
      <c r="BA20" s="46">
        <v>4</v>
      </c>
      <c r="BB20" s="50">
        <v>1</v>
      </c>
      <c r="BC20" s="126">
        <f>72869.97</f>
        <v>72869.97</v>
      </c>
      <c r="BD20" s="46">
        <f>3+3+3</f>
        <v>9</v>
      </c>
      <c r="BE20" s="50">
        <v>1</v>
      </c>
      <c r="BF20" s="126">
        <f>30459.82+34844.6+35181.55</f>
        <v>100485.97</v>
      </c>
      <c r="BG20" s="46"/>
      <c r="BH20" s="50"/>
      <c r="BI20" s="126"/>
      <c r="BJ20" s="46"/>
      <c r="BK20" s="50"/>
      <c r="BL20" s="52"/>
      <c r="BM20" s="49"/>
      <c r="BN20" s="50"/>
      <c r="BO20" s="52"/>
    </row>
    <row r="21" spans="1:67" x14ac:dyDescent="0.25">
      <c r="A21" s="127">
        <v>12</v>
      </c>
      <c r="B21" s="164" t="s">
        <v>39</v>
      </c>
      <c r="C21" s="52" t="s">
        <v>29</v>
      </c>
      <c r="D21" s="46">
        <v>1331</v>
      </c>
      <c r="E21" s="50">
        <v>19</v>
      </c>
      <c r="F21" s="51">
        <v>452757.08024392999</v>
      </c>
      <c r="G21" s="46">
        <v>235</v>
      </c>
      <c r="H21" s="50">
        <v>17</v>
      </c>
      <c r="I21" s="126">
        <v>620878.24</v>
      </c>
      <c r="J21" s="127"/>
      <c r="K21" s="46"/>
      <c r="L21" s="50">
        <v>1</v>
      </c>
      <c r="M21" s="52">
        <f>6446.88</f>
        <v>6446.88</v>
      </c>
      <c r="N21" s="49"/>
      <c r="O21" s="50"/>
      <c r="P21" s="126"/>
      <c r="Q21" s="46">
        <f>14</f>
        <v>14</v>
      </c>
      <c r="R21" s="50">
        <v>1</v>
      </c>
      <c r="S21" s="52">
        <f>12195.54+6446.88</f>
        <v>18642.420000000002</v>
      </c>
      <c r="T21" s="46">
        <f>8</f>
        <v>8</v>
      </c>
      <c r="U21" s="50">
        <v>1</v>
      </c>
      <c r="V21" s="52">
        <f>14917.67</f>
        <v>14917.67</v>
      </c>
      <c r="W21" s="46"/>
      <c r="X21" s="50"/>
      <c r="Y21" s="52"/>
      <c r="Z21" s="46">
        <f>4</f>
        <v>4</v>
      </c>
      <c r="AA21" s="50">
        <v>1</v>
      </c>
      <c r="AB21" s="52">
        <f>5223.68</f>
        <v>5223.68</v>
      </c>
      <c r="AC21" s="49">
        <f>8+9</f>
        <v>17</v>
      </c>
      <c r="AD21" s="50">
        <v>1</v>
      </c>
      <c r="AE21" s="126">
        <f>18334.87+12644.42</f>
        <v>30979.29</v>
      </c>
      <c r="AF21" s="46">
        <f>9</f>
        <v>9</v>
      </c>
      <c r="AG21" s="50">
        <v>1</v>
      </c>
      <c r="AH21" s="52">
        <f>18514.58+23979.25</f>
        <v>42493.83</v>
      </c>
      <c r="AI21" s="46">
        <v>24</v>
      </c>
      <c r="AJ21" s="50">
        <v>1</v>
      </c>
      <c r="AK21" s="52">
        <f>24182.17+22534.17</f>
        <v>46716.34</v>
      </c>
      <c r="AL21" s="46">
        <f>6+8+7+24</f>
        <v>45</v>
      </c>
      <c r="AM21" s="50">
        <v>1</v>
      </c>
      <c r="AN21" s="52">
        <f>11438.51+20769.93+27797.96+25464.5</f>
        <v>85470.9</v>
      </c>
      <c r="AO21" s="49">
        <f>8</f>
        <v>8</v>
      </c>
      <c r="AP21" s="50">
        <v>1</v>
      </c>
      <c r="AQ21" s="52">
        <f>15963.36</f>
        <v>15963.36</v>
      </c>
      <c r="AR21" s="46">
        <v>10</v>
      </c>
      <c r="AS21" s="50">
        <v>1</v>
      </c>
      <c r="AT21" s="52">
        <f>9324.68+11298.88+10827.16</f>
        <v>31450.719999999998</v>
      </c>
      <c r="AU21" s="46">
        <f>6+7</f>
        <v>13</v>
      </c>
      <c r="AV21" s="50">
        <v>1</v>
      </c>
      <c r="AW21" s="52">
        <f>21887.04+17114.55</f>
        <v>39001.589999999997</v>
      </c>
      <c r="AX21" s="46">
        <v>10</v>
      </c>
      <c r="AY21" s="50">
        <v>1</v>
      </c>
      <c r="AZ21" s="52">
        <f>27007.82</f>
        <v>27007.82</v>
      </c>
      <c r="BA21" s="46">
        <v>6</v>
      </c>
      <c r="BB21" s="50">
        <v>1</v>
      </c>
      <c r="BC21" s="126">
        <f>20316.17+19744.41</f>
        <v>40060.58</v>
      </c>
      <c r="BD21" s="46">
        <f>10+9</f>
        <v>19</v>
      </c>
      <c r="BE21" s="50">
        <v>1</v>
      </c>
      <c r="BF21" s="126">
        <f>13986.89+23305.36</f>
        <v>37292.25</v>
      </c>
      <c r="BG21" s="46">
        <f>5+9</f>
        <v>14</v>
      </c>
      <c r="BH21" s="50">
        <v>1</v>
      </c>
      <c r="BI21" s="126">
        <f>20172.4+18658.34+29033.42+38237.64</f>
        <v>106101.8</v>
      </c>
      <c r="BJ21" s="46">
        <f>10+8</f>
        <v>18</v>
      </c>
      <c r="BK21" s="50">
        <v>1</v>
      </c>
      <c r="BL21" s="52">
        <f>19684.94+26584.96</f>
        <v>46269.899999999994</v>
      </c>
      <c r="BM21" s="49">
        <f>9+7</f>
        <v>16</v>
      </c>
      <c r="BN21" s="50">
        <v>1</v>
      </c>
      <c r="BO21" s="52">
        <f>13669.16+13170.05</f>
        <v>26839.21</v>
      </c>
    </row>
    <row r="22" spans="1:67" x14ac:dyDescent="0.25">
      <c r="A22" s="127">
        <v>13</v>
      </c>
      <c r="B22" s="164" t="s">
        <v>40</v>
      </c>
      <c r="C22" s="52" t="s">
        <v>29</v>
      </c>
      <c r="D22" s="46">
        <v>560</v>
      </c>
      <c r="E22" s="50">
        <v>19</v>
      </c>
      <c r="F22" s="51">
        <v>192183.70865851676</v>
      </c>
      <c r="G22" s="46">
        <v>209</v>
      </c>
      <c r="H22" s="50">
        <v>13</v>
      </c>
      <c r="I22" s="126">
        <v>439817.57</v>
      </c>
      <c r="J22" s="127"/>
      <c r="K22" s="46"/>
      <c r="L22" s="50"/>
      <c r="M22" s="52"/>
      <c r="N22" s="49"/>
      <c r="O22" s="50"/>
      <c r="P22" s="126"/>
      <c r="Q22" s="46">
        <f>9</f>
        <v>9</v>
      </c>
      <c r="R22" s="50">
        <v>1</v>
      </c>
      <c r="S22" s="52">
        <f>13724.89+12691.59</f>
        <v>26416.48</v>
      </c>
      <c r="T22" s="46"/>
      <c r="U22" s="50"/>
      <c r="V22" s="52"/>
      <c r="W22" s="46"/>
      <c r="X22" s="50"/>
      <c r="Y22" s="52"/>
      <c r="Z22" s="46"/>
      <c r="AA22" s="50"/>
      <c r="AB22" s="52"/>
      <c r="AC22" s="49">
        <f>15+9</f>
        <v>24</v>
      </c>
      <c r="AD22" s="50">
        <v>1</v>
      </c>
      <c r="AE22" s="126">
        <f>16542.26+20211.07</f>
        <v>36753.33</v>
      </c>
      <c r="AF22" s="46">
        <f>10+6</f>
        <v>16</v>
      </c>
      <c r="AG22" s="50">
        <v>1</v>
      </c>
      <c r="AH22" s="52">
        <f>22780.8+14556.02</f>
        <v>37336.82</v>
      </c>
      <c r="AI22" s="46">
        <f>10+10</f>
        <v>20</v>
      </c>
      <c r="AJ22" s="50">
        <v>1</v>
      </c>
      <c r="AK22" s="52">
        <f>20019.64+18060.25</f>
        <v>38079.89</v>
      </c>
      <c r="AL22" s="46">
        <f>6</f>
        <v>6</v>
      </c>
      <c r="AM22" s="50">
        <v>1</v>
      </c>
      <c r="AN22" s="52">
        <f>24535.16</f>
        <v>24535.16</v>
      </c>
      <c r="AO22" s="49">
        <f>20+7</f>
        <v>27</v>
      </c>
      <c r="AP22" s="50">
        <v>1</v>
      </c>
      <c r="AQ22" s="52">
        <f>12656.04+14868.72+14803.11</f>
        <v>42327.87</v>
      </c>
      <c r="AR22" s="46"/>
      <c r="AS22" s="50"/>
      <c r="AT22" s="52"/>
      <c r="AU22" s="46">
        <f>8</f>
        <v>8</v>
      </c>
      <c r="AV22" s="50">
        <v>1</v>
      </c>
      <c r="AW22" s="52">
        <f>21946.35+11972.77</f>
        <v>33919.119999999995</v>
      </c>
      <c r="AX22" s="46">
        <f>7</f>
        <v>7</v>
      </c>
      <c r="AY22" s="50">
        <v>1</v>
      </c>
      <c r="AZ22" s="52">
        <f>16072.27</f>
        <v>16072.27</v>
      </c>
      <c r="BA22" s="46">
        <f>10+9</f>
        <v>19</v>
      </c>
      <c r="BB22" s="50">
        <v>1</v>
      </c>
      <c r="BC22" s="126">
        <f>19307.55+8167.54</f>
        <v>27475.09</v>
      </c>
      <c r="BD22" s="46">
        <f>10+10+6</f>
        <v>26</v>
      </c>
      <c r="BE22" s="50">
        <v>1</v>
      </c>
      <c r="BF22" s="126">
        <f>18370.81+26433.56+14556.02+30761.39</f>
        <v>90121.78</v>
      </c>
      <c r="BG22" s="46">
        <v>15</v>
      </c>
      <c r="BH22" s="50">
        <v>1</v>
      </c>
      <c r="BI22" s="126">
        <v>24950.43</v>
      </c>
      <c r="BJ22" s="46">
        <f>10</f>
        <v>10</v>
      </c>
      <c r="BK22" s="50">
        <v>1</v>
      </c>
      <c r="BL22" s="52">
        <f>14690.8</f>
        <v>14690.8</v>
      </c>
      <c r="BM22" s="49">
        <v>22</v>
      </c>
      <c r="BN22" s="50">
        <v>1</v>
      </c>
      <c r="BO22" s="52">
        <f>13669.16+13469.37</f>
        <v>27138.53</v>
      </c>
    </row>
    <row r="23" spans="1:67" x14ac:dyDescent="0.25">
      <c r="A23" s="127"/>
      <c r="B23" s="164" t="s">
        <v>41</v>
      </c>
      <c r="C23" s="52" t="s">
        <v>29</v>
      </c>
      <c r="D23" s="46">
        <v>137</v>
      </c>
      <c r="E23" s="50">
        <v>19</v>
      </c>
      <c r="F23" s="51">
        <v>111340.69792085998</v>
      </c>
      <c r="G23" s="46">
        <v>112</v>
      </c>
      <c r="H23" s="50">
        <v>3</v>
      </c>
      <c r="I23" s="126">
        <v>76955.97</v>
      </c>
      <c r="J23" s="127"/>
      <c r="K23" s="46"/>
      <c r="L23" s="50"/>
      <c r="M23" s="52"/>
      <c r="N23" s="49"/>
      <c r="O23" s="50"/>
      <c r="P23" s="126"/>
      <c r="Q23" s="46"/>
      <c r="R23" s="50"/>
      <c r="S23" s="52"/>
      <c r="T23" s="46"/>
      <c r="U23" s="50"/>
      <c r="V23" s="52"/>
      <c r="W23" s="46"/>
      <c r="X23" s="50"/>
      <c r="Y23" s="52"/>
      <c r="Z23" s="46"/>
      <c r="AA23" s="50"/>
      <c r="AB23" s="52"/>
      <c r="AC23" s="49">
        <f>20</f>
        <v>20</v>
      </c>
      <c r="AD23" s="50">
        <v>1</v>
      </c>
      <c r="AE23" s="126">
        <f>13059.98</f>
        <v>13059.98</v>
      </c>
      <c r="AF23" s="46"/>
      <c r="AG23" s="50"/>
      <c r="AH23" s="52"/>
      <c r="AI23" s="46">
        <v>72</v>
      </c>
      <c r="AJ23" s="50">
        <v>1</v>
      </c>
      <c r="AK23" s="52">
        <f>50836.01</f>
        <v>50836.01</v>
      </c>
      <c r="AL23" s="46"/>
      <c r="AM23" s="50"/>
      <c r="AN23" s="52"/>
      <c r="AO23" s="49"/>
      <c r="AP23" s="50"/>
      <c r="AQ23" s="52"/>
      <c r="AR23" s="46"/>
      <c r="AS23" s="50"/>
      <c r="AT23" s="52"/>
      <c r="AU23" s="46"/>
      <c r="AV23" s="50"/>
      <c r="AW23" s="52"/>
      <c r="AX23" s="46"/>
      <c r="AY23" s="50"/>
      <c r="AZ23" s="52"/>
      <c r="BA23" s="46"/>
      <c r="BB23" s="50"/>
      <c r="BC23" s="126"/>
      <c r="BD23" s="46">
        <f>20</f>
        <v>20</v>
      </c>
      <c r="BE23" s="50">
        <v>1</v>
      </c>
      <c r="BF23" s="126">
        <f>13059.98</f>
        <v>13059.98</v>
      </c>
      <c r="BG23" s="46"/>
      <c r="BH23" s="50"/>
      <c r="BI23" s="126"/>
      <c r="BJ23" s="46"/>
      <c r="BK23" s="50"/>
      <c r="BL23" s="52"/>
      <c r="BM23" s="49"/>
      <c r="BN23" s="50"/>
      <c r="BO23" s="52"/>
    </row>
    <row r="24" spans="1:67" x14ac:dyDescent="0.25">
      <c r="A24" s="127">
        <v>14</v>
      </c>
      <c r="B24" s="164" t="s">
        <v>42</v>
      </c>
      <c r="C24" s="52" t="s">
        <v>29</v>
      </c>
      <c r="D24" s="46">
        <v>1023</v>
      </c>
      <c r="E24" s="50">
        <v>19</v>
      </c>
      <c r="F24" s="51">
        <v>80308.737670638788</v>
      </c>
      <c r="G24" s="46">
        <v>120</v>
      </c>
      <c r="H24" s="50">
        <v>2</v>
      </c>
      <c r="I24" s="126">
        <v>17979.38</v>
      </c>
      <c r="J24" s="127"/>
      <c r="K24" s="46"/>
      <c r="L24" s="50"/>
      <c r="M24" s="52"/>
      <c r="N24" s="49"/>
      <c r="O24" s="50"/>
      <c r="P24" s="126"/>
      <c r="Q24" s="46"/>
      <c r="R24" s="50"/>
      <c r="S24" s="52"/>
      <c r="T24" s="46"/>
      <c r="U24" s="50"/>
      <c r="V24" s="52"/>
      <c r="W24" s="46"/>
      <c r="X24" s="50"/>
      <c r="Y24" s="52"/>
      <c r="Z24" s="46">
        <v>100</v>
      </c>
      <c r="AA24" s="50">
        <v>1</v>
      </c>
      <c r="AB24" s="52">
        <f>16743.92</f>
        <v>16743.919999999998</v>
      </c>
      <c r="AC24" s="49"/>
      <c r="AD24" s="50"/>
      <c r="AE24" s="126"/>
      <c r="AF24" s="46"/>
      <c r="AG24" s="50"/>
      <c r="AH24" s="52"/>
      <c r="AI24" s="46"/>
      <c r="AJ24" s="50"/>
      <c r="AK24" s="52"/>
      <c r="AL24" s="46">
        <f>20</f>
        <v>20</v>
      </c>
      <c r="AM24" s="50">
        <v>1</v>
      </c>
      <c r="AN24" s="52">
        <f>1235.46</f>
        <v>1235.46</v>
      </c>
      <c r="AO24" s="49"/>
      <c r="AP24" s="50"/>
      <c r="AQ24" s="52"/>
      <c r="AR24" s="46"/>
      <c r="AS24" s="50"/>
      <c r="AT24" s="52"/>
      <c r="AU24" s="46"/>
      <c r="AV24" s="50"/>
      <c r="AW24" s="52"/>
      <c r="AX24" s="46"/>
      <c r="AY24" s="50"/>
      <c r="AZ24" s="52"/>
      <c r="BA24" s="46"/>
      <c r="BB24" s="50"/>
      <c r="BC24" s="126"/>
      <c r="BD24" s="46"/>
      <c r="BE24" s="50"/>
      <c r="BF24" s="126"/>
      <c r="BG24" s="46"/>
      <c r="BH24" s="50"/>
      <c r="BI24" s="126"/>
      <c r="BJ24" s="46"/>
      <c r="BK24" s="50"/>
      <c r="BL24" s="52"/>
      <c r="BM24" s="49"/>
      <c r="BN24" s="50"/>
      <c r="BO24" s="52"/>
    </row>
    <row r="25" spans="1:67" x14ac:dyDescent="0.25">
      <c r="A25" s="127">
        <v>15</v>
      </c>
      <c r="B25" s="166" t="s">
        <v>43</v>
      </c>
      <c r="C25" s="73"/>
      <c r="D25" s="68"/>
      <c r="E25" s="71"/>
      <c r="F25" s="51">
        <v>0</v>
      </c>
      <c r="G25" s="46"/>
      <c r="H25" s="50"/>
      <c r="I25" s="126"/>
      <c r="J25" s="127"/>
      <c r="K25" s="46"/>
      <c r="L25" s="50"/>
      <c r="M25" s="52"/>
      <c r="N25" s="49"/>
      <c r="O25" s="50"/>
      <c r="P25" s="126"/>
      <c r="Q25" s="46"/>
      <c r="R25" s="50"/>
      <c r="S25" s="52"/>
      <c r="T25" s="46"/>
      <c r="U25" s="50"/>
      <c r="V25" s="52"/>
      <c r="W25" s="46"/>
      <c r="X25" s="50"/>
      <c r="Y25" s="52"/>
      <c r="Z25" s="46"/>
      <c r="AA25" s="50"/>
      <c r="AB25" s="52"/>
      <c r="AC25" s="49"/>
      <c r="AD25" s="50"/>
      <c r="AE25" s="126"/>
      <c r="AF25" s="46"/>
      <c r="AG25" s="50"/>
      <c r="AH25" s="52"/>
      <c r="AI25" s="46"/>
      <c r="AJ25" s="50"/>
      <c r="AK25" s="52"/>
      <c r="AL25" s="46"/>
      <c r="AM25" s="50"/>
      <c r="AN25" s="52"/>
      <c r="AO25" s="49"/>
      <c r="AP25" s="50"/>
      <c r="AQ25" s="52"/>
      <c r="AR25" s="46"/>
      <c r="AS25" s="50"/>
      <c r="AT25" s="52"/>
      <c r="AU25" s="46"/>
      <c r="AV25" s="50"/>
      <c r="AW25" s="52"/>
      <c r="AX25" s="46"/>
      <c r="AY25" s="50"/>
      <c r="AZ25" s="52"/>
      <c r="BA25" s="46"/>
      <c r="BB25" s="50"/>
      <c r="BC25" s="126"/>
      <c r="BD25" s="46"/>
      <c r="BE25" s="50"/>
      <c r="BF25" s="126"/>
      <c r="BG25" s="46"/>
      <c r="BH25" s="50"/>
      <c r="BI25" s="126"/>
      <c r="BJ25" s="46"/>
      <c r="BK25" s="50"/>
      <c r="BL25" s="52"/>
      <c r="BM25" s="49"/>
      <c r="BN25" s="50"/>
      <c r="BO25" s="52"/>
    </row>
    <row r="26" spans="1:67" x14ac:dyDescent="0.25">
      <c r="A26" s="127">
        <v>16</v>
      </c>
      <c r="B26" s="164" t="s">
        <v>44</v>
      </c>
      <c r="C26" s="167"/>
      <c r="D26" s="60"/>
      <c r="E26" s="58"/>
      <c r="F26" s="178">
        <v>0</v>
      </c>
      <c r="G26" s="172"/>
      <c r="H26" s="173"/>
      <c r="I26" s="175"/>
      <c r="J26" s="196"/>
      <c r="K26" s="60"/>
      <c r="L26" s="58"/>
      <c r="M26" s="59"/>
      <c r="N26" s="147"/>
      <c r="O26" s="58"/>
      <c r="P26" s="146"/>
      <c r="Q26" s="60"/>
      <c r="R26" s="58"/>
      <c r="S26" s="59"/>
      <c r="T26" s="60"/>
      <c r="U26" s="58"/>
      <c r="V26" s="59"/>
      <c r="W26" s="60"/>
      <c r="X26" s="58"/>
      <c r="Y26" s="59"/>
      <c r="Z26" s="60"/>
      <c r="AA26" s="58"/>
      <c r="AB26" s="59"/>
      <c r="AC26" s="147"/>
      <c r="AD26" s="58"/>
      <c r="AE26" s="146"/>
      <c r="AF26" s="60"/>
      <c r="AG26" s="58"/>
      <c r="AH26" s="59"/>
      <c r="AI26" s="60"/>
      <c r="AJ26" s="58"/>
      <c r="AK26" s="59"/>
      <c r="AL26" s="60"/>
      <c r="AM26" s="58"/>
      <c r="AN26" s="59"/>
      <c r="AO26" s="147"/>
      <c r="AP26" s="58"/>
      <c r="AQ26" s="59"/>
      <c r="AR26" s="60"/>
      <c r="AS26" s="58"/>
      <c r="AT26" s="59"/>
      <c r="AU26" s="60"/>
      <c r="AV26" s="58"/>
      <c r="AW26" s="59"/>
      <c r="AX26" s="60"/>
      <c r="AY26" s="58"/>
      <c r="AZ26" s="59"/>
      <c r="BA26" s="60"/>
      <c r="BB26" s="58"/>
      <c r="BC26" s="146"/>
      <c r="BD26" s="60"/>
      <c r="BE26" s="58"/>
      <c r="BF26" s="146"/>
      <c r="BG26" s="60"/>
      <c r="BH26" s="58"/>
      <c r="BI26" s="146"/>
      <c r="BJ26" s="60"/>
      <c r="BK26" s="58"/>
      <c r="BL26" s="59"/>
      <c r="BM26" s="147"/>
      <c r="BN26" s="58"/>
      <c r="BO26" s="59"/>
    </row>
    <row r="27" spans="1:67" ht="15.75" thickBot="1" x14ac:dyDescent="0.3">
      <c r="A27" s="165">
        <v>17</v>
      </c>
      <c r="B27" s="179" t="s">
        <v>45</v>
      </c>
      <c r="C27" s="157"/>
      <c r="D27" s="90"/>
      <c r="E27" s="86"/>
      <c r="F27" s="72">
        <v>0</v>
      </c>
      <c r="G27" s="68">
        <v>3</v>
      </c>
      <c r="H27" s="71">
        <v>5</v>
      </c>
      <c r="I27" s="129">
        <v>22209.14</v>
      </c>
      <c r="J27" s="127"/>
      <c r="K27" s="77"/>
      <c r="L27" s="75"/>
      <c r="M27" s="76"/>
      <c r="N27" s="128"/>
      <c r="O27" s="71"/>
      <c r="P27" s="129"/>
      <c r="Q27" s="77"/>
      <c r="R27" s="75">
        <v>1</v>
      </c>
      <c r="S27" s="76">
        <f>10355.44</f>
        <v>10355.44</v>
      </c>
      <c r="T27" s="77"/>
      <c r="U27" s="75"/>
      <c r="V27" s="76"/>
      <c r="W27" s="77"/>
      <c r="X27" s="75"/>
      <c r="Y27" s="76"/>
      <c r="Z27" s="77"/>
      <c r="AA27" s="75"/>
      <c r="AB27" s="76"/>
      <c r="AC27" s="128"/>
      <c r="AD27" s="71"/>
      <c r="AE27" s="129"/>
      <c r="AF27" s="68">
        <v>2</v>
      </c>
      <c r="AG27" s="71">
        <v>1</v>
      </c>
      <c r="AH27" s="73">
        <f>2448.46</f>
        <v>2448.46</v>
      </c>
      <c r="AI27" s="68"/>
      <c r="AJ27" s="71"/>
      <c r="AK27" s="73"/>
      <c r="AL27" s="77"/>
      <c r="AM27" s="75"/>
      <c r="AN27" s="76"/>
      <c r="AO27" s="74"/>
      <c r="AP27" s="75"/>
      <c r="AQ27" s="76"/>
      <c r="AR27" s="77"/>
      <c r="AS27" s="75"/>
      <c r="AT27" s="76"/>
      <c r="AU27" s="77"/>
      <c r="AV27" s="75">
        <v>1</v>
      </c>
      <c r="AW27" s="76">
        <f>3710.88</f>
        <v>3710.88</v>
      </c>
      <c r="AX27" s="77"/>
      <c r="AY27" s="75"/>
      <c r="AZ27" s="76"/>
      <c r="BA27" s="77"/>
      <c r="BB27" s="75"/>
      <c r="BC27" s="151"/>
      <c r="BD27" s="77"/>
      <c r="BE27" s="75">
        <v>1</v>
      </c>
      <c r="BF27" s="151">
        <v>3632.26</v>
      </c>
      <c r="BG27" s="68">
        <v>1</v>
      </c>
      <c r="BH27" s="71">
        <v>1</v>
      </c>
      <c r="BI27" s="129">
        <f>2062.1</f>
        <v>2062.1</v>
      </c>
      <c r="BJ27" s="68"/>
      <c r="BK27" s="71"/>
      <c r="BL27" s="73"/>
      <c r="BM27" s="74"/>
      <c r="BN27" s="75"/>
      <c r="BO27" s="76"/>
    </row>
    <row r="28" spans="1:67" ht="15.75" thickBot="1" x14ac:dyDescent="0.3">
      <c r="A28" s="165">
        <v>18</v>
      </c>
      <c r="B28" s="166" t="s">
        <v>58</v>
      </c>
      <c r="C28" s="73"/>
      <c r="D28" s="68"/>
      <c r="E28" s="71"/>
      <c r="F28" s="150">
        <v>714226.59163322451</v>
      </c>
      <c r="G28" s="77"/>
      <c r="H28" s="75"/>
      <c r="I28" s="151"/>
      <c r="J28" s="68">
        <v>705847.88</v>
      </c>
      <c r="K28" s="79"/>
      <c r="L28" s="130"/>
      <c r="M28" s="131">
        <f>1000+2000</f>
        <v>3000</v>
      </c>
      <c r="N28" s="89"/>
      <c r="O28" s="130"/>
      <c r="P28" s="131"/>
      <c r="Q28" s="82"/>
      <c r="R28" s="156"/>
      <c r="S28" s="189">
        <f>15400+46198+4000</f>
        <v>65598</v>
      </c>
      <c r="T28" s="82"/>
      <c r="U28" s="156"/>
      <c r="V28" s="189">
        <v>61598</v>
      </c>
      <c r="W28" s="82"/>
      <c r="X28" s="156"/>
      <c r="Y28" s="189"/>
      <c r="Z28" s="82"/>
      <c r="AA28" s="156"/>
      <c r="AB28" s="189"/>
      <c r="AC28" s="79"/>
      <c r="AD28" s="130"/>
      <c r="AE28" s="131">
        <f>20022+14946</f>
        <v>34968</v>
      </c>
      <c r="AF28" s="79"/>
      <c r="AG28" s="130"/>
      <c r="AH28" s="131">
        <f>3710.88+29536+22048</f>
        <v>55294.879999999997</v>
      </c>
      <c r="AI28" s="79"/>
      <c r="AJ28" s="130"/>
      <c r="AK28" s="131">
        <f>42742+31906</f>
        <v>74648</v>
      </c>
      <c r="AL28" s="89"/>
      <c r="AM28" s="130"/>
      <c r="AN28" s="131"/>
      <c r="AO28" s="82"/>
      <c r="AP28" s="156"/>
      <c r="AQ28" s="189">
        <v>4000</v>
      </c>
      <c r="AR28" s="82"/>
      <c r="AS28" s="156"/>
      <c r="AT28" s="189">
        <f>30403+25336</f>
        <v>55739</v>
      </c>
      <c r="AU28" s="82"/>
      <c r="AV28" s="156"/>
      <c r="AW28" s="189">
        <f>4402+3286+2000+8804+6572</f>
        <v>25064</v>
      </c>
      <c r="AX28" s="82"/>
      <c r="AY28" s="156"/>
      <c r="AZ28" s="189">
        <f>1136+848+12668</f>
        <v>14652</v>
      </c>
      <c r="BA28" s="82"/>
      <c r="BB28" s="156"/>
      <c r="BC28" s="189">
        <v>61596</v>
      </c>
      <c r="BD28" s="158"/>
      <c r="BE28" s="190"/>
      <c r="BF28" s="190">
        <f>38350+38350+16472+12296+38350+20448+15264</f>
        <v>179530</v>
      </c>
      <c r="BG28" s="79"/>
      <c r="BH28" s="80"/>
      <c r="BI28" s="130">
        <f>55739+4221+4000</f>
        <v>63960</v>
      </c>
      <c r="BJ28" s="79"/>
      <c r="BK28" s="80"/>
      <c r="BL28" s="81"/>
      <c r="BM28" s="89"/>
      <c r="BN28" s="80"/>
      <c r="BO28" s="81">
        <f>3550+2650</f>
        <v>6200</v>
      </c>
    </row>
    <row r="29" spans="1:67" ht="15.75" thickBot="1" x14ac:dyDescent="0.3">
      <c r="A29" s="158"/>
      <c r="B29" s="79" t="s">
        <v>47</v>
      </c>
      <c r="C29" s="81"/>
      <c r="D29" s="79"/>
      <c r="E29" s="130"/>
      <c r="F29" s="181">
        <f>SUM(F10:F27)+F28</f>
        <v>2376852.38</v>
      </c>
      <c r="G29" s="159"/>
      <c r="H29" s="158"/>
      <c r="I29" s="191">
        <f>SUM(I10:I27)+J28</f>
        <v>2721507.8899999997</v>
      </c>
      <c r="J29" s="159">
        <f>SUM(J10:J27)</f>
        <v>0</v>
      </c>
      <c r="K29" s="89"/>
      <c r="L29" s="130"/>
      <c r="M29" s="159">
        <f>SUM(M10:M27)+M28</f>
        <v>13647.45</v>
      </c>
      <c r="N29" s="89"/>
      <c r="O29" s="130"/>
      <c r="P29" s="159">
        <f>SUM(P10:P27)</f>
        <v>0</v>
      </c>
      <c r="Q29" s="89"/>
      <c r="R29" s="130"/>
      <c r="S29" s="159">
        <f>SUM(S10:S27)+S28</f>
        <v>228595.16</v>
      </c>
      <c r="T29" s="89"/>
      <c r="U29" s="130"/>
      <c r="V29" s="159">
        <f>SUM(V10:V27)+V28</f>
        <v>119195.29999999999</v>
      </c>
      <c r="W29" s="89"/>
      <c r="X29" s="130"/>
      <c r="Y29" s="159">
        <f>SUM(Y10:Y27)</f>
        <v>0</v>
      </c>
      <c r="Z29" s="89"/>
      <c r="AA29" s="130"/>
      <c r="AB29" s="159">
        <f>SUM(AB10:AB27)</f>
        <v>21967.599999999999</v>
      </c>
      <c r="AC29" s="89"/>
      <c r="AD29" s="130"/>
      <c r="AE29" s="159">
        <f>SUM(AE10:AE27)+AE28</f>
        <v>130614.31999999999</v>
      </c>
      <c r="AF29" s="79"/>
      <c r="AG29" s="130"/>
      <c r="AH29" s="159">
        <f>SUM(AH10:AH27)</f>
        <v>104350.95</v>
      </c>
      <c r="AI29" s="79"/>
      <c r="AJ29" s="130"/>
      <c r="AK29" s="159">
        <f>SUM(AK10:AK27)+AK28</f>
        <v>279246.14</v>
      </c>
      <c r="AL29" s="89"/>
      <c r="AM29" s="130"/>
      <c r="AN29" s="159">
        <f>SUM(AN10:AN27)</f>
        <v>112117.57</v>
      </c>
      <c r="AO29" s="89"/>
      <c r="AP29" s="130"/>
      <c r="AQ29" s="159">
        <f>SUM(AQ10:AQ27)+AQ28</f>
        <v>71173.08</v>
      </c>
      <c r="AR29" s="89"/>
      <c r="AS29" s="130"/>
      <c r="AT29" s="159">
        <f>SUM(AT10:AT27)+AT28</f>
        <v>207119.66999999998</v>
      </c>
      <c r="AU29" s="89"/>
      <c r="AV29" s="130"/>
      <c r="AW29" s="159">
        <f>SUM(AW10:AW27)+AW28</f>
        <v>125025.66</v>
      </c>
      <c r="AX29" s="89"/>
      <c r="AY29" s="130"/>
      <c r="AZ29" s="159">
        <f>SUM(AZ10:AZ27)+AZ28</f>
        <v>92754.13</v>
      </c>
      <c r="BA29" s="89"/>
      <c r="BB29" s="130"/>
      <c r="BC29" s="159">
        <f>SUM(BC10:BC27)+BC28</f>
        <v>202001.64</v>
      </c>
      <c r="BD29" s="159"/>
      <c r="BE29" s="159"/>
      <c r="BF29" s="159">
        <f>SUM(BF10:BF27)+BF28</f>
        <v>485875.26</v>
      </c>
      <c r="BG29" s="192"/>
      <c r="BH29" s="192"/>
      <c r="BI29" s="192">
        <f>SUM(BI10:BI28)+BI28</f>
        <v>409622.57999999996</v>
      </c>
      <c r="BJ29" s="192"/>
      <c r="BK29" s="192"/>
      <c r="BL29" s="192">
        <f>SUM(BL10:BL27)</f>
        <v>60960.7</v>
      </c>
      <c r="BM29" s="192"/>
      <c r="BN29" s="192"/>
      <c r="BO29" s="192">
        <f>SUM(BO10:BO27)+BO28</f>
        <v>65905.8</v>
      </c>
    </row>
    <row r="30" spans="1:67" x14ac:dyDescent="0.25">
      <c r="A30" s="3"/>
      <c r="B30" s="3"/>
      <c r="C30" s="3"/>
      <c r="D30" s="3"/>
      <c r="E30" s="3"/>
      <c r="F30" s="10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x14ac:dyDescent="0.25">
      <c r="A34" s="3"/>
      <c r="B34" s="137" t="s">
        <v>122</v>
      </c>
      <c r="C34" s="137"/>
      <c r="D34" s="137"/>
      <c r="E34" s="137"/>
      <c r="F34" s="137"/>
      <c r="G34" s="137" t="s">
        <v>100</v>
      </c>
      <c r="H34" s="183"/>
      <c r="I34" s="183"/>
      <c r="J34" s="183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</row>
    <row r="35" spans="1:67" x14ac:dyDescent="0.25">
      <c r="A35" s="3"/>
      <c r="B35" s="13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7" spans="1:67" ht="15.75" x14ac:dyDescent="0.25">
      <c r="B37" s="108"/>
      <c r="E37" s="108"/>
      <c r="BB37" s="108" t="s">
        <v>123</v>
      </c>
    </row>
  </sheetData>
  <mergeCells count="91">
    <mergeCell ref="B2:J2"/>
    <mergeCell ref="B3:J3"/>
    <mergeCell ref="B4:J4"/>
    <mergeCell ref="A6:A8"/>
    <mergeCell ref="B6:B8"/>
    <mergeCell ref="C6:C8"/>
    <mergeCell ref="D6:F6"/>
    <mergeCell ref="G6:I6"/>
    <mergeCell ref="AR6:AT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R7:R8"/>
    <mergeCell ref="BM6:BO6"/>
    <mergeCell ref="D7:D8"/>
    <mergeCell ref="E7:E8"/>
    <mergeCell ref="F7:F8"/>
    <mergeCell ref="G7:G8"/>
    <mergeCell ref="H7:H8"/>
    <mergeCell ref="I7:I8"/>
    <mergeCell ref="K7:K8"/>
    <mergeCell ref="L7:L8"/>
    <mergeCell ref="AU6:AW6"/>
    <mergeCell ref="AX6:AZ6"/>
    <mergeCell ref="BA6:BC6"/>
    <mergeCell ref="BD6:BF6"/>
    <mergeCell ref="BG6:BI6"/>
    <mergeCell ref="BJ6:BL6"/>
    <mergeCell ref="M7:M8"/>
    <mergeCell ref="N7:N8"/>
    <mergeCell ref="O7:O8"/>
    <mergeCell ref="P7:P8"/>
    <mergeCell ref="Q7:Q8"/>
    <mergeCell ref="AD7:AD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P7:AP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BO7:BO8"/>
    <mergeCell ref="J7:J8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гар нов </vt:lpstr>
      <vt:lpstr>гар плюс</vt:lpstr>
      <vt:lpstr>гар сущ</vt:lpstr>
      <vt:lpstr>спек нов</vt:lpstr>
      <vt:lpstr>спек сущ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2015-03-21T05:19:31Z</dcterms:modified>
</cp:coreProperties>
</file>